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pea1/BoxSync/cloud-box synced/aws-cost-models/"/>
    </mc:Choice>
  </mc:AlternateContent>
  <bookViews>
    <workbookView xWindow="0" yWindow="460" windowWidth="36260" windowHeight="2538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1" l="1"/>
  <c r="E48" i="1"/>
  <c r="D48" i="1"/>
  <c r="C48" i="1"/>
  <c r="B48" i="1"/>
  <c r="E47" i="1"/>
  <c r="D47" i="1"/>
  <c r="C47" i="1"/>
  <c r="B47" i="1"/>
  <c r="C13" i="1"/>
  <c r="E46" i="1"/>
  <c r="D27" i="1"/>
  <c r="D46" i="1"/>
  <c r="C27" i="1"/>
  <c r="C46" i="1"/>
  <c r="B27" i="1"/>
  <c r="B46" i="1"/>
  <c r="C12" i="1"/>
  <c r="B42" i="1"/>
  <c r="B41" i="1"/>
  <c r="C9" i="1"/>
  <c r="B40" i="1"/>
  <c r="C42" i="1"/>
  <c r="C41" i="1"/>
  <c r="C40" i="1"/>
  <c r="D42" i="1"/>
  <c r="D41" i="1"/>
  <c r="D40" i="1"/>
  <c r="E42" i="1"/>
  <c r="E41" i="1"/>
  <c r="E40" i="1"/>
  <c r="C43" i="1"/>
  <c r="C49" i="1"/>
  <c r="D43" i="1"/>
  <c r="D49" i="1"/>
  <c r="E43" i="1"/>
  <c r="E49" i="1"/>
  <c r="B43" i="1"/>
  <c r="B49" i="1"/>
  <c r="F40" i="1"/>
  <c r="F41" i="1"/>
  <c r="F42" i="1"/>
  <c r="F43" i="1"/>
  <c r="G40" i="1"/>
  <c r="G41" i="1"/>
  <c r="G42" i="1"/>
  <c r="G43" i="1"/>
  <c r="H40" i="1"/>
  <c r="H41" i="1"/>
  <c r="H42" i="1"/>
  <c r="H43" i="1"/>
  <c r="I40" i="1"/>
  <c r="I41" i="1"/>
  <c r="I42" i="1"/>
  <c r="I43" i="1"/>
  <c r="J40" i="1"/>
  <c r="J41" i="1"/>
  <c r="J42" i="1"/>
  <c r="J43" i="1"/>
  <c r="F46" i="1"/>
  <c r="F47" i="1"/>
  <c r="F48" i="1"/>
  <c r="F49" i="1"/>
  <c r="G46" i="1"/>
  <c r="G47" i="1"/>
  <c r="G48" i="1"/>
  <c r="G49" i="1"/>
  <c r="H46" i="1"/>
  <c r="H47" i="1"/>
  <c r="H48" i="1"/>
  <c r="H49" i="1"/>
  <c r="I46" i="1"/>
  <c r="I47" i="1"/>
  <c r="I48" i="1"/>
  <c r="I49" i="1"/>
  <c r="J46" i="1"/>
  <c r="J47" i="1"/>
  <c r="J48" i="1"/>
  <c r="J49" i="1"/>
  <c r="J26" i="1"/>
  <c r="H26" i="1"/>
  <c r="D20" i="1"/>
  <c r="E20" i="1"/>
  <c r="B57" i="1"/>
  <c r="D19" i="1"/>
  <c r="B64" i="1"/>
  <c r="D21" i="1"/>
  <c r="E21" i="1"/>
  <c r="B65" i="1"/>
  <c r="D22" i="1"/>
  <c r="E22" i="1"/>
  <c r="B66" i="1"/>
  <c r="D23" i="1"/>
  <c r="E23" i="1"/>
  <c r="B67" i="1"/>
  <c r="E19" i="1"/>
  <c r="B63" i="1"/>
  <c r="B56" i="1"/>
  <c r="B55" i="1"/>
  <c r="D18" i="1"/>
  <c r="E18" i="1"/>
  <c r="B59" i="1"/>
  <c r="B60" i="1"/>
  <c r="B58" i="1"/>
  <c r="I26" i="1"/>
  <c r="G26" i="1"/>
  <c r="F26" i="1"/>
  <c r="E26" i="1"/>
</calcChain>
</file>

<file path=xl/comments1.xml><?xml version="1.0" encoding="utf-8"?>
<comments xmlns="http://schemas.openxmlformats.org/spreadsheetml/2006/main">
  <authors>
    <author>Microsoft Office User</author>
  </authors>
  <commentList>
    <comment ref="C25" authorId="0">
      <text>
        <r>
          <rPr>
            <b/>
            <sz val="10"/>
            <color indexed="81"/>
            <rFont val="Calibri"/>
          </rPr>
          <t>Assumes 20% overhead for snapsots</t>
        </r>
      </text>
    </comment>
    <comment ref="D25" authorId="0">
      <text>
        <r>
          <rPr>
            <b/>
            <sz val="10"/>
            <color indexed="81"/>
            <rFont val="Calibri"/>
          </rPr>
          <t xml:space="preserve">Assume 20% overhead for snapshots
</t>
        </r>
      </text>
    </comment>
  </commentList>
</comments>
</file>

<file path=xl/sharedStrings.xml><?xml version="1.0" encoding="utf-8"?>
<sst xmlns="http://schemas.openxmlformats.org/spreadsheetml/2006/main" count="95" uniqueCount="80">
  <si>
    <t>dynamic data total size (TB)</t>
  </si>
  <si>
    <t>static data archive size (TB)</t>
  </si>
  <si>
    <t>dynamic data avg file size (MB)</t>
  </si>
  <si>
    <t>static data archive retrievals/month</t>
  </si>
  <si>
    <t>bandwidth (GB) - data ingress</t>
  </si>
  <si>
    <t>Comparison of AWS storage types</t>
  </si>
  <si>
    <t>static data archive</t>
  </si>
  <si>
    <t>SFS non-replicated</t>
  </si>
  <si>
    <t>SFS snapshot, replicated</t>
  </si>
  <si>
    <t>SFS snapshot, non-replicated replica</t>
  </si>
  <si>
    <t>AWS S3 standard - infrequent access</t>
  </si>
  <si>
    <t>AWS S3 standard</t>
  </si>
  <si>
    <t>AWS S3 - reduced redundancy</t>
  </si>
  <si>
    <t>Cost</t>
  </si>
  <si>
    <t>dynamic data archive</t>
  </si>
  <si>
    <t xml:space="preserve"> - storage</t>
  </si>
  <si>
    <t>usable storage ($/GB-month)</t>
  </si>
  <si>
    <t>usable storage ($/TB-month)</t>
  </si>
  <si>
    <t>dynamic data accesses/month</t>
  </si>
  <si>
    <t>static data archive GET operations per retrieval</t>
  </si>
  <si>
    <t>dynamic data GET operations per access</t>
  </si>
  <si>
    <t>dyanmic data PUT operaitons per access</t>
  </si>
  <si>
    <t xml:space="preserve"> - usage - retrieve only (GET operations)</t>
  </si>
  <si>
    <t>data retrieveal fee ($/GB)</t>
  </si>
  <si>
    <t xml:space="preserve"> - usage - (GET &amp; PUT operations)</t>
  </si>
  <si>
    <t xml:space="preserve"> - usage - retrieval fees</t>
  </si>
  <si>
    <t xml:space="preserve"> - usage -retrieval fees</t>
  </si>
  <si>
    <t>static data archive avg file size (MB)</t>
  </si>
  <si>
    <t>AWS S3 FAQs</t>
  </si>
  <si>
    <t>SFS FAQs (esp. Snapshots)</t>
  </si>
  <si>
    <t>AWS Glacier FAQs</t>
  </si>
  <si>
    <t>Resource Links</t>
  </si>
  <si>
    <t>Conell SFS non-replicated</t>
  </si>
  <si>
    <t>Cornell SFS snapshot, non-replicated replica</t>
  </si>
  <si>
    <t>Cornell SFS snapshot, replicated</t>
  </si>
  <si>
    <t>Transfer Speeds</t>
  </si>
  <si>
    <t>Standardized to Mbit/s</t>
  </si>
  <si>
    <t>see "Benchmarking Network Speeds for Traffic between Cornell and The Cloud"</t>
  </si>
  <si>
    <t>Standardized to Gbit/s</t>
  </si>
  <si>
    <t>Standardized to GB</t>
  </si>
  <si>
    <t>campus&lt;-&gt;AWS bandwidth--commodity (MB/s) - 4 client threads</t>
  </si>
  <si>
    <t>campus&lt;-&gt;AWS bandwidth--Direct Connect (MB/s) - 4 client threads</t>
  </si>
  <si>
    <t xml:space="preserve"> - campus to/from SFS (s)</t>
  </si>
  <si>
    <t>campus&lt;-&gt;AWS bandwidth--Direct Connect (MB/s) - 1 client thread</t>
  </si>
  <si>
    <t>campus&lt;-&gt;AWS bandwidth--commodity (MB/s) - 1 client thread</t>
  </si>
  <si>
    <t>Fee Structure (Input)</t>
  </si>
  <si>
    <t>Model Parameters</t>
  </si>
  <si>
    <t>n/a</t>
  </si>
  <si>
    <t xml:space="preserve"> - min. billed size is 128KB
 - 30 day storage minimum</t>
  </si>
  <si>
    <t>caveats</t>
  </si>
  <si>
    <t>ADJUST THESE PARAMETER VALUES</t>
  </si>
  <si>
    <t>Comparison of Cornell SFS Service and AWS Storage Options</t>
  </si>
  <si>
    <t>Transfering Bulk Files (GB) ----------------------------------------------------&gt;</t>
  </si>
  <si>
    <t>This spreadsheet models combined costs of two different data archives. The first is a static archive, with very little access and retrieval. The second is a more dynamic archive where files within it are updated relatively frequently. This model does not account for fees of initially establishing each archive (which would be $0 for the Cornell solution, and more than $0 for the AWS options).</t>
  </si>
  <si>
    <t>Assumes on-campus client has 1Gbit/s connectivity.</t>
  </si>
  <si>
    <t>Transfer one file of average size (GB) --------------------------------------&gt;</t>
  </si>
  <si>
    <t>bandwidth (GB) - data egress</t>
  </si>
  <si>
    <t>AWS data egress fees waived for Cornell contracts</t>
  </si>
  <si>
    <t>Notes</t>
  </si>
  <si>
    <t>campus&lt;-&gt;SFS (MB/s)</t>
  </si>
  <si>
    <t>campus&lt;-&gt;campus bandwidth (MB/s) - best case 1Gbit/s</t>
  </si>
  <si>
    <t>SFS caps file transfers at 350Mbit/s</t>
  </si>
  <si>
    <t>Assumes campus client connectivity of 1Gbit/s</t>
  </si>
  <si>
    <t xml:space="preserve"> - campus to/from AWS via commodity internet (s) - "worst" case</t>
  </si>
  <si>
    <t xml:space="preserve"> - campus to/from AWS via commodity internet (s) - "best" case</t>
  </si>
  <si>
    <t xml:space="preserve"> - campus to/from AWS via Direct Connect - "worst" case</t>
  </si>
  <si>
    <t xml:space="preserve"> - campus to/from AWS via Direct Connect - "best" case</t>
  </si>
  <si>
    <t>SFS Speeds for On-or Off-Campus Access</t>
  </si>
  <si>
    <t>AWS Glacier - standard retrieval</t>
  </si>
  <si>
    <t>AWS Glacier - expedited retrieval</t>
  </si>
  <si>
    <t>PUT. POST request unit size (requests)</t>
  </si>
  <si>
    <t>PUT, POST requests ($/unit)</t>
  </si>
  <si>
    <t>GET request unit size (requests)</t>
  </si>
  <si>
    <t>GET requests ($/unit)</t>
  </si>
  <si>
    <t>AWS Glacier - bulk retrieval</t>
  </si>
  <si>
    <t>Pricing from 2016-11-28 (includes updated S3/Glacier pricing in effect 12/1/16)</t>
  </si>
  <si>
    <t>dynamic data archive - subtotal</t>
  </si>
  <si>
    <t>static data archive - subtotal</t>
  </si>
  <si>
    <t xml:space="preserve"> - S3 metadata fees apply (not modeled)
- retrievals are placed in S3 and incur S3 charges thereafter</t>
  </si>
  <si>
    <t>Yes, $0.01/request!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</si>
</sst>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0.0000"/>
    <numFmt numFmtId="167" formatCode="_(&quot;$&quot;* #,##0.000_);_(&quot;$&quot;* \(#,##0.000\);_(&quot;$&quot;* &quot;-&quot;??_);_(@_)"/>
    <numFmt numFmtId="169" formatCode="_(&quot;$&quot;* #,##0.000_);_(&quot;$&quot;* \(#,##0.000\);_(&quot;$&quot;* &quot;-&quot;???_);_(@_)"/>
    <numFmt numFmtId="171" formatCode="_(&quot;$&quot;* #,##0.00_);_(&quot;$&quot;* \(#,##0.00\);_(&quot;$&quot;* &quot;-&quot;???_);_(@_)"/>
    <numFmt numFmtId="173" formatCode="_(&quot;$&quot;* #,##0_);_(&quot;$&quot;* \(#,##0\);_(&quot;$&quot;* &quot;-&quot;?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indexed="8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164" fontId="0" fillId="0" borderId="0" xfId="1" applyNumberFormat="1" applyFont="1"/>
    <xf numFmtId="0" fontId="2" fillId="0" borderId="0" xfId="0" applyFont="1"/>
    <xf numFmtId="165" fontId="0" fillId="0" borderId="0" xfId="2" applyNumberFormat="1" applyFont="1"/>
    <xf numFmtId="0" fontId="2" fillId="0" borderId="0" xfId="0" applyFont="1" applyAlignment="1">
      <alignment wrapText="1"/>
    </xf>
    <xf numFmtId="166" fontId="0" fillId="0" borderId="0" xfId="0" applyNumberFormat="1"/>
    <xf numFmtId="0" fontId="3" fillId="0" borderId="0" xfId="4"/>
    <xf numFmtId="167" fontId="0" fillId="0" borderId="0" xfId="2" applyNumberFormat="1" applyFont="1"/>
    <xf numFmtId="0" fontId="0" fillId="0" borderId="0" xfId="0" quotePrefix="1"/>
    <xf numFmtId="0" fontId="0" fillId="0" borderId="0" xfId="3" applyFont="1" applyFill="1" applyBorder="1" applyAlignment="1">
      <alignment vertical="center"/>
    </xf>
    <xf numFmtId="169" fontId="0" fillId="0" borderId="0" xfId="0" applyNumberFormat="1"/>
    <xf numFmtId="0" fontId="0" fillId="4" borderId="0" xfId="0" applyFill="1"/>
    <xf numFmtId="0" fontId="0" fillId="6" borderId="0" xfId="0" applyFill="1"/>
    <xf numFmtId="0" fontId="0" fillId="7" borderId="0" xfId="0" applyFill="1"/>
    <xf numFmtId="164" fontId="0" fillId="8" borderId="2" xfId="1" applyNumberFormat="1" applyFont="1" applyFill="1" applyBorder="1"/>
    <xf numFmtId="0" fontId="3" fillId="0" borderId="0" xfId="4" applyFill="1" applyBorder="1" applyAlignment="1">
      <alignment vertical="center"/>
    </xf>
    <xf numFmtId="2" fontId="0" fillId="0" borderId="0" xfId="0" applyNumberFormat="1"/>
    <xf numFmtId="0" fontId="0" fillId="0" borderId="0" xfId="3" applyFont="1" applyFill="1" applyBorder="1" applyAlignment="1">
      <alignment horizontal="left" vertical="center"/>
    </xf>
    <xf numFmtId="0" fontId="3" fillId="0" borderId="0" xfId="4" applyFill="1" applyBorder="1" applyAlignment="1">
      <alignment horizontal="left" vertical="center"/>
    </xf>
    <xf numFmtId="0" fontId="2" fillId="3" borderId="0" xfId="0" applyFont="1" applyFill="1"/>
    <xf numFmtId="166" fontId="2" fillId="3" borderId="0" xfId="0" applyNumberFormat="1" applyFont="1" applyFill="1"/>
    <xf numFmtId="0" fontId="0" fillId="3" borderId="0" xfId="0" quotePrefix="1" applyFill="1"/>
    <xf numFmtId="2" fontId="0" fillId="3" borderId="0" xfId="0" applyNumberFormat="1" applyFill="1"/>
    <xf numFmtId="0" fontId="0" fillId="3" borderId="0" xfId="0" applyFill="1"/>
    <xf numFmtId="1" fontId="0" fillId="3" borderId="0" xfId="0" applyNumberFormat="1" applyFill="1"/>
    <xf numFmtId="0" fontId="2" fillId="5" borderId="0" xfId="0" applyFont="1" applyFill="1"/>
    <xf numFmtId="0" fontId="0" fillId="5" borderId="0" xfId="0" applyFill="1"/>
    <xf numFmtId="0" fontId="0" fillId="9" borderId="0" xfId="3" applyFont="1" applyFill="1" applyBorder="1" applyAlignment="1">
      <alignment horizontal="left" vertical="center"/>
    </xf>
    <xf numFmtId="0" fontId="0" fillId="5" borderId="0" xfId="0" applyFont="1" applyFill="1"/>
    <xf numFmtId="0" fontId="0" fillId="11" borderId="0" xfId="0" applyFill="1"/>
    <xf numFmtId="165" fontId="0" fillId="11" borderId="0" xfId="2" applyNumberFormat="1" applyFont="1" applyFill="1"/>
    <xf numFmtId="0" fontId="2" fillId="8" borderId="4" xfId="0" applyFont="1" applyFill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165" fontId="2" fillId="0" borderId="5" xfId="2" applyNumberFormat="1" applyFont="1" applyBorder="1" applyAlignment="1">
      <alignment wrapText="1"/>
    </xf>
    <xf numFmtId="0" fontId="0" fillId="9" borderId="0" xfId="3" applyFont="1" applyFill="1" applyBorder="1" applyAlignment="1">
      <alignment horizontal="left" vertical="center"/>
    </xf>
    <xf numFmtId="0" fontId="3" fillId="9" borderId="0" xfId="4" applyFill="1" applyBorder="1" applyAlignment="1">
      <alignment horizontal="left" vertical="center" wrapText="1"/>
    </xf>
    <xf numFmtId="0" fontId="0" fillId="11" borderId="0" xfId="0" quotePrefix="1" applyFill="1" applyAlignment="1">
      <alignment wrapText="1"/>
    </xf>
    <xf numFmtId="164" fontId="0" fillId="6" borderId="2" xfId="1" applyNumberFormat="1" applyFont="1" applyFill="1" applyBorder="1"/>
    <xf numFmtId="164" fontId="0" fillId="6" borderId="3" xfId="1" applyNumberFormat="1" applyFont="1" applyFill="1" applyBorder="1"/>
    <xf numFmtId="0" fontId="4" fillId="7" borderId="0" xfId="0" applyFont="1" applyFill="1" applyAlignment="1">
      <alignment horizontal="left"/>
    </xf>
    <xf numFmtId="0" fontId="0" fillId="9" borderId="0" xfId="3" applyFont="1" applyFill="1" applyBorder="1" applyAlignment="1">
      <alignment horizontal="left" vertical="center"/>
    </xf>
    <xf numFmtId="0" fontId="3" fillId="9" borderId="0" xfId="4" applyFill="1" applyBorder="1" applyAlignment="1">
      <alignment horizontal="left" vertical="center" wrapText="1"/>
    </xf>
    <xf numFmtId="0" fontId="0" fillId="10" borderId="0" xfId="0" applyFill="1" applyAlignment="1">
      <alignment horizontal="left" vertical="center" wrapText="1"/>
    </xf>
    <xf numFmtId="0" fontId="2" fillId="0" borderId="0" xfId="0" applyFont="1" applyBorder="1"/>
    <xf numFmtId="167" fontId="0" fillId="0" borderId="0" xfId="2" applyNumberFormat="1" applyFont="1" applyFill="1"/>
    <xf numFmtId="0" fontId="0" fillId="0" borderId="0" xfId="0" applyFill="1" applyAlignment="1">
      <alignment wrapText="1"/>
    </xf>
    <xf numFmtId="0" fontId="0" fillId="0" borderId="6" xfId="0" applyFill="1" applyBorder="1" applyAlignment="1">
      <alignment vertical="center" textRotation="45" wrapText="1"/>
    </xf>
    <xf numFmtId="0" fontId="0" fillId="0" borderId="0" xfId="0" applyFill="1" applyAlignment="1">
      <alignment vertical="center" textRotation="45" wrapText="1"/>
    </xf>
    <xf numFmtId="165" fontId="0" fillId="0" borderId="0" xfId="2" applyNumberFormat="1" applyFont="1" applyFill="1"/>
    <xf numFmtId="0" fontId="0" fillId="13" borderId="0" xfId="0" quotePrefix="1" applyFill="1" applyAlignment="1">
      <alignment horizontal="left" wrapText="1"/>
    </xf>
    <xf numFmtId="0" fontId="0" fillId="13" borderId="0" xfId="0" quotePrefix="1" applyFill="1" applyAlignment="1">
      <alignment wrapText="1"/>
    </xf>
    <xf numFmtId="0" fontId="0" fillId="0" borderId="0" xfId="0" applyFill="1"/>
    <xf numFmtId="171" fontId="0" fillId="0" borderId="0" xfId="0" applyNumberFormat="1"/>
    <xf numFmtId="0" fontId="2" fillId="13" borderId="0" xfId="0" quotePrefix="1" applyFont="1" applyFill="1"/>
    <xf numFmtId="173" fontId="2" fillId="13" borderId="0" xfId="0" applyNumberFormat="1" applyFont="1" applyFill="1"/>
    <xf numFmtId="0" fontId="2" fillId="13" borderId="0" xfId="0" applyFont="1" applyFill="1" applyAlignment="1">
      <alignment vertical="center" textRotation="45" wrapText="1"/>
    </xf>
    <xf numFmtId="0" fontId="2" fillId="13" borderId="0" xfId="0" applyFont="1" applyFill="1"/>
    <xf numFmtId="164" fontId="0" fillId="12" borderId="0" xfId="1" applyNumberFormat="1" applyFont="1" applyFill="1"/>
    <xf numFmtId="0" fontId="0" fillId="12" borderId="0" xfId="0" applyFill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te" xfId="3" builtinId="1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t.cornell.edu/services/sharedfile/faq.cfm" TargetMode="External"/><Relationship Id="rId4" Type="http://schemas.openxmlformats.org/officeDocument/2006/relationships/hyperlink" Target="https://aws.amazon.com/glacier/faqs/" TargetMode="External"/><Relationship Id="rId5" Type="http://schemas.openxmlformats.org/officeDocument/2006/relationships/hyperlink" Target="https://blogs.cornell.edu/cloudification/2016/07/05/benchmarking-network-speeds-for-traffic-between-cornell-and-the-cloud/" TargetMode="External"/><Relationship Id="rId6" Type="http://schemas.openxmlformats.org/officeDocument/2006/relationships/hyperlink" Target="http://www.it.cornell.edu/services/sharedfile/speed.cfm" TargetMode="External"/><Relationship Id="rId7" Type="http://schemas.openxmlformats.org/officeDocument/2006/relationships/vmlDrawing" Target="../drawings/vmlDrawing1.vml"/><Relationship Id="rId8" Type="http://schemas.openxmlformats.org/officeDocument/2006/relationships/comments" Target="../comments1.xml"/><Relationship Id="rId1" Type="http://schemas.openxmlformats.org/officeDocument/2006/relationships/hyperlink" Target="https://aws.amazon.com/s3/reduced-redundancy/" TargetMode="External"/><Relationship Id="rId2" Type="http://schemas.openxmlformats.org/officeDocument/2006/relationships/hyperlink" Target="https://aws.amazon.com/s3/faq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7"/>
  <sheetViews>
    <sheetView tabSelected="1" zoomScale="125" zoomScaleNormal="125" zoomScalePageLayoutView="125" workbookViewId="0">
      <selection sqref="A1:K1"/>
    </sheetView>
  </sheetViews>
  <sheetFormatPr baseColWidth="10" defaultColWidth="16.6640625" defaultRowHeight="16" x14ac:dyDescent="0.2"/>
  <cols>
    <col min="1" max="1" width="56.83203125" customWidth="1"/>
    <col min="3" max="3" width="15.5" customWidth="1"/>
    <col min="4" max="4" width="13.1640625" customWidth="1"/>
    <col min="5" max="5" width="12.33203125" customWidth="1"/>
    <col min="6" max="6" width="22.5" customWidth="1"/>
    <col min="10" max="10" width="16.5" customWidth="1"/>
    <col min="11" max="11" width="35.6640625" customWidth="1"/>
  </cols>
  <sheetData>
    <row r="1" spans="1:11" ht="21" x14ac:dyDescent="0.25">
      <c r="A1" s="40" t="s">
        <v>51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">
      <c r="A2" t="s">
        <v>75</v>
      </c>
    </row>
    <row r="4" spans="1:11" x14ac:dyDescent="0.2">
      <c r="A4" s="43" t="s">
        <v>53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7" thickBot="1" x14ac:dyDescent="0.25"/>
    <row r="8" spans="1:11" ht="48" x14ac:dyDescent="0.2">
      <c r="A8" s="32" t="s">
        <v>46</v>
      </c>
      <c r="B8" s="31" t="s">
        <v>50</v>
      </c>
      <c r="C8" s="33" t="s">
        <v>39</v>
      </c>
      <c r="D8" s="33" t="s">
        <v>36</v>
      </c>
      <c r="E8" s="33" t="s">
        <v>38</v>
      </c>
      <c r="G8" s="32" t="s">
        <v>31</v>
      </c>
      <c r="H8" s="44"/>
    </row>
    <row r="9" spans="1:11" x14ac:dyDescent="0.2">
      <c r="A9" s="11" t="s">
        <v>1</v>
      </c>
      <c r="B9" s="14">
        <v>1</v>
      </c>
      <c r="C9" s="1">
        <f>+B9*1024</f>
        <v>1024</v>
      </c>
      <c r="F9" s="9"/>
      <c r="G9" s="6" t="s">
        <v>5</v>
      </c>
      <c r="H9" s="6"/>
      <c r="I9" s="9"/>
      <c r="J9" s="9"/>
      <c r="K9" s="9"/>
    </row>
    <row r="10" spans="1:11" x14ac:dyDescent="0.2">
      <c r="A10" s="11" t="s">
        <v>3</v>
      </c>
      <c r="B10" s="14">
        <v>1000</v>
      </c>
      <c r="F10" s="9"/>
      <c r="G10" s="15" t="s">
        <v>28</v>
      </c>
      <c r="H10" s="15"/>
      <c r="I10" s="9"/>
      <c r="J10" s="9"/>
      <c r="K10" s="9"/>
    </row>
    <row r="11" spans="1:11" x14ac:dyDescent="0.2">
      <c r="A11" s="11" t="s">
        <v>19</v>
      </c>
      <c r="B11" s="14">
        <v>1</v>
      </c>
      <c r="F11" s="9"/>
      <c r="G11" s="15" t="s">
        <v>30</v>
      </c>
      <c r="H11" s="15"/>
      <c r="I11" s="9"/>
      <c r="J11" s="9"/>
      <c r="K11" s="9"/>
    </row>
    <row r="12" spans="1:11" x14ac:dyDescent="0.2">
      <c r="A12" s="11" t="s">
        <v>27</v>
      </c>
      <c r="B12" s="14">
        <v>2</v>
      </c>
      <c r="C12" s="5">
        <f>+B12/1024</f>
        <v>1.953125E-3</v>
      </c>
      <c r="F12" s="9"/>
      <c r="G12" s="15" t="s">
        <v>29</v>
      </c>
      <c r="H12" s="15"/>
      <c r="I12" s="9"/>
      <c r="J12" s="9"/>
      <c r="K12" s="9"/>
    </row>
    <row r="13" spans="1:11" x14ac:dyDescent="0.2">
      <c r="A13" s="13" t="s">
        <v>0</v>
      </c>
      <c r="B13" s="14">
        <v>1</v>
      </c>
      <c r="C13" s="1">
        <f>+B13*1024</f>
        <v>1024</v>
      </c>
      <c r="F13" s="9"/>
      <c r="G13" s="15" t="s">
        <v>67</v>
      </c>
      <c r="H13" s="15"/>
      <c r="I13" s="9"/>
      <c r="J13" s="9"/>
      <c r="K13" s="9"/>
    </row>
    <row r="14" spans="1:11" x14ac:dyDescent="0.2">
      <c r="A14" s="13" t="s">
        <v>18</v>
      </c>
      <c r="B14" s="14">
        <v>200000</v>
      </c>
      <c r="F14" s="9"/>
      <c r="G14" s="9"/>
      <c r="H14" s="9"/>
      <c r="I14" s="9"/>
      <c r="J14" s="9"/>
      <c r="K14" s="9"/>
    </row>
    <row r="15" spans="1:11" x14ac:dyDescent="0.2">
      <c r="A15" s="13" t="s">
        <v>20</v>
      </c>
      <c r="B15" s="14">
        <v>2</v>
      </c>
      <c r="E15" s="9"/>
      <c r="F15" s="9"/>
      <c r="G15" s="9"/>
      <c r="H15" s="9"/>
      <c r="I15" s="9"/>
      <c r="J15" s="9"/>
      <c r="K15" s="9"/>
    </row>
    <row r="16" spans="1:11" x14ac:dyDescent="0.2">
      <c r="A16" s="13" t="s">
        <v>21</v>
      </c>
      <c r="B16" s="14">
        <v>2</v>
      </c>
      <c r="E16" s="9"/>
      <c r="F16" s="9"/>
      <c r="G16" s="9"/>
      <c r="H16" s="9"/>
      <c r="I16" s="9"/>
      <c r="J16" s="9"/>
      <c r="K16" s="9"/>
    </row>
    <row r="17" spans="1:11" x14ac:dyDescent="0.2">
      <c r="A17" s="13" t="s">
        <v>2</v>
      </c>
      <c r="B17" s="14">
        <v>2</v>
      </c>
      <c r="C17" s="5">
        <f>+B17/1024</f>
        <v>1.953125E-3</v>
      </c>
      <c r="E17" s="9"/>
      <c r="F17" s="9"/>
      <c r="G17" s="9"/>
      <c r="H17" s="9"/>
      <c r="I17" s="9"/>
      <c r="J17" s="9"/>
      <c r="K17" s="9"/>
    </row>
    <row r="18" spans="1:11" x14ac:dyDescent="0.2">
      <c r="A18" s="12" t="s">
        <v>60</v>
      </c>
      <c r="B18" s="38">
        <v>128</v>
      </c>
      <c r="C18" s="5"/>
      <c r="D18">
        <f t="shared" ref="D18:D23" si="0">+B18*8</f>
        <v>1024</v>
      </c>
      <c r="E18" s="16">
        <f t="shared" ref="E18:E23" si="1">+D18/1024</f>
        <v>1</v>
      </c>
      <c r="F18" s="41" t="s">
        <v>62</v>
      </c>
      <c r="G18" s="41"/>
      <c r="H18" s="41"/>
      <c r="I18" s="41"/>
      <c r="J18" s="35"/>
      <c r="K18" s="17"/>
    </row>
    <row r="19" spans="1:11" x14ac:dyDescent="0.2">
      <c r="A19" s="12" t="s">
        <v>59</v>
      </c>
      <c r="B19" s="38">
        <v>40</v>
      </c>
      <c r="C19" s="5"/>
      <c r="D19">
        <f t="shared" si="0"/>
        <v>320</v>
      </c>
      <c r="E19" s="16">
        <f t="shared" si="1"/>
        <v>0.3125</v>
      </c>
      <c r="F19" s="27" t="s">
        <v>61</v>
      </c>
      <c r="G19" s="27"/>
      <c r="H19" s="35"/>
      <c r="I19" s="27"/>
      <c r="J19" s="35"/>
      <c r="K19" s="17"/>
    </row>
    <row r="20" spans="1:11" x14ac:dyDescent="0.2">
      <c r="A20" s="12" t="s">
        <v>44</v>
      </c>
      <c r="B20" s="38">
        <v>40</v>
      </c>
      <c r="C20" s="5"/>
      <c r="D20">
        <f t="shared" si="0"/>
        <v>320</v>
      </c>
      <c r="E20" s="16">
        <f t="shared" si="1"/>
        <v>0.3125</v>
      </c>
      <c r="F20" s="42" t="s">
        <v>37</v>
      </c>
      <c r="G20" s="42"/>
      <c r="H20" s="42"/>
      <c r="I20" s="42"/>
      <c r="J20" s="36"/>
      <c r="K20" s="18"/>
    </row>
    <row r="21" spans="1:11" x14ac:dyDescent="0.2">
      <c r="A21" s="12" t="s">
        <v>40</v>
      </c>
      <c r="B21" s="38">
        <v>95</v>
      </c>
      <c r="C21" s="5"/>
      <c r="D21">
        <f t="shared" si="0"/>
        <v>760</v>
      </c>
      <c r="E21" s="16">
        <f t="shared" si="1"/>
        <v>0.7421875</v>
      </c>
      <c r="F21" s="42"/>
      <c r="G21" s="42"/>
      <c r="H21" s="42"/>
      <c r="I21" s="42"/>
      <c r="J21" s="36"/>
      <c r="K21" s="18"/>
    </row>
    <row r="22" spans="1:11" x14ac:dyDescent="0.2">
      <c r="A22" s="12" t="s">
        <v>43</v>
      </c>
      <c r="B22" s="38">
        <v>37</v>
      </c>
      <c r="D22">
        <f t="shared" si="0"/>
        <v>296</v>
      </c>
      <c r="E22" s="16">
        <f t="shared" si="1"/>
        <v>0.2890625</v>
      </c>
      <c r="F22" s="42"/>
      <c r="G22" s="42"/>
      <c r="H22" s="42"/>
      <c r="I22" s="42"/>
      <c r="J22" s="36"/>
      <c r="K22" s="18"/>
    </row>
    <row r="23" spans="1:11" ht="17" thickBot="1" x14ac:dyDescent="0.25">
      <c r="A23" s="12" t="s">
        <v>41</v>
      </c>
      <c r="B23" s="39">
        <v>103</v>
      </c>
      <c r="C23" s="5"/>
      <c r="D23">
        <f t="shared" si="0"/>
        <v>824</v>
      </c>
      <c r="E23" s="16">
        <f t="shared" si="1"/>
        <v>0.8046875</v>
      </c>
      <c r="F23" s="42"/>
      <c r="G23" s="42"/>
      <c r="H23" s="42"/>
      <c r="I23" s="42"/>
      <c r="J23" s="36"/>
      <c r="K23" s="18"/>
    </row>
    <row r="25" spans="1:11" s="4" customFormat="1" ht="48" x14ac:dyDescent="0.2">
      <c r="A25" s="33" t="s">
        <v>45</v>
      </c>
      <c r="B25" s="33" t="s">
        <v>32</v>
      </c>
      <c r="C25" s="33" t="s">
        <v>33</v>
      </c>
      <c r="D25" s="33" t="s">
        <v>34</v>
      </c>
      <c r="E25" s="34" t="s">
        <v>11</v>
      </c>
      <c r="F25" s="33" t="s">
        <v>10</v>
      </c>
      <c r="G25" s="33" t="s">
        <v>12</v>
      </c>
      <c r="H25" s="33" t="s">
        <v>69</v>
      </c>
      <c r="I25" s="33" t="s">
        <v>68</v>
      </c>
      <c r="J25" s="33" t="s">
        <v>74</v>
      </c>
      <c r="K25" s="33" t="s">
        <v>58</v>
      </c>
    </row>
    <row r="26" spans="1:11" x14ac:dyDescent="0.2">
      <c r="A26" t="s">
        <v>17</v>
      </c>
      <c r="B26" s="7">
        <v>40</v>
      </c>
      <c r="C26" s="7">
        <v>50</v>
      </c>
      <c r="D26" s="7">
        <v>100</v>
      </c>
      <c r="E26" s="7">
        <f>+E27*1024</f>
        <v>23.552</v>
      </c>
      <c r="F26" s="7">
        <f>+F27*1024</f>
        <v>12.8</v>
      </c>
      <c r="G26" s="7">
        <f>+G27*1024</f>
        <v>24.576000000000001</v>
      </c>
      <c r="H26" s="7">
        <f>+H27*1024</f>
        <v>4.0960000000000001</v>
      </c>
      <c r="I26" s="7">
        <f>+I27*1024</f>
        <v>4.0960000000000001</v>
      </c>
      <c r="J26" s="7">
        <f>+J27*1024</f>
        <v>4.0960000000000001</v>
      </c>
    </row>
    <row r="27" spans="1:11" x14ac:dyDescent="0.2">
      <c r="A27" t="s">
        <v>16</v>
      </c>
      <c r="B27" s="7">
        <f>+B26/1024</f>
        <v>3.90625E-2</v>
      </c>
      <c r="C27" s="7">
        <f>+C26/1024</f>
        <v>4.8828125E-2</v>
      </c>
      <c r="D27" s="7">
        <f>+D26/1024</f>
        <v>9.765625E-2</v>
      </c>
      <c r="E27" s="7">
        <v>2.3E-2</v>
      </c>
      <c r="F27" s="3">
        <v>1.2500000000000001E-2</v>
      </c>
      <c r="G27" s="7">
        <v>2.4E-2</v>
      </c>
      <c r="H27" s="7">
        <v>4.0000000000000001E-3</v>
      </c>
      <c r="I27" s="7">
        <v>4.0000000000000001E-3</v>
      </c>
      <c r="J27" s="3">
        <v>4.0000000000000001E-3</v>
      </c>
    </row>
    <row r="28" spans="1:11" x14ac:dyDescent="0.2">
      <c r="A28" t="s">
        <v>23</v>
      </c>
      <c r="B28" s="7">
        <v>0</v>
      </c>
      <c r="C28" s="7">
        <v>0</v>
      </c>
      <c r="D28" s="7">
        <v>0</v>
      </c>
      <c r="E28" s="7">
        <v>0</v>
      </c>
      <c r="F28" s="7">
        <v>0.01</v>
      </c>
      <c r="G28" s="7">
        <v>0</v>
      </c>
      <c r="H28" s="7">
        <v>0.03</v>
      </c>
      <c r="I28" s="45">
        <v>0.01</v>
      </c>
      <c r="J28" s="49">
        <v>2.5000000000000001E-3</v>
      </c>
      <c r="K28" s="46"/>
    </row>
    <row r="29" spans="1:11" x14ac:dyDescent="0.2">
      <c r="A29" t="s">
        <v>73</v>
      </c>
      <c r="B29" s="7">
        <v>0</v>
      </c>
      <c r="C29" s="7">
        <v>0</v>
      </c>
      <c r="D29" s="7">
        <v>0</v>
      </c>
      <c r="E29" s="7">
        <v>4.0000000000000001E-3</v>
      </c>
      <c r="F29" s="7">
        <v>0.01</v>
      </c>
      <c r="G29" s="7">
        <v>4.0000000000000001E-3</v>
      </c>
      <c r="H29" s="7">
        <v>0.05</v>
      </c>
      <c r="I29" s="7">
        <v>0.05</v>
      </c>
      <c r="J29" s="7">
        <v>2.5000000000000001E-2</v>
      </c>
    </row>
    <row r="30" spans="1:11" x14ac:dyDescent="0.2">
      <c r="A30" t="s">
        <v>72</v>
      </c>
      <c r="B30" s="1">
        <v>1</v>
      </c>
      <c r="C30" s="1">
        <v>1</v>
      </c>
      <c r="D30" s="1">
        <v>1</v>
      </c>
      <c r="E30" s="1">
        <v>10000</v>
      </c>
      <c r="F30" s="1">
        <v>10000</v>
      </c>
      <c r="G30" s="1">
        <v>10000</v>
      </c>
      <c r="H30" s="58">
        <v>1</v>
      </c>
      <c r="I30" s="1">
        <v>1000</v>
      </c>
      <c r="J30" s="1">
        <v>1000</v>
      </c>
      <c r="K30" s="59" t="s">
        <v>79</v>
      </c>
    </row>
    <row r="31" spans="1:11" x14ac:dyDescent="0.2">
      <c r="A31" t="s">
        <v>71</v>
      </c>
      <c r="B31" s="7">
        <v>0</v>
      </c>
      <c r="C31" s="7">
        <v>0</v>
      </c>
      <c r="D31" s="7">
        <v>0</v>
      </c>
      <c r="E31" s="7">
        <v>5.0000000000000001E-3</v>
      </c>
      <c r="F31" s="7">
        <v>0.01</v>
      </c>
      <c r="G31" s="7">
        <v>5.0000000000000001E-3</v>
      </c>
      <c r="H31" s="7">
        <v>5.0000000000000001E-3</v>
      </c>
      <c r="I31" s="7">
        <v>0.05</v>
      </c>
      <c r="J31" s="7">
        <v>0.05</v>
      </c>
    </row>
    <row r="32" spans="1:11" x14ac:dyDescent="0.2">
      <c r="A32" t="s">
        <v>70</v>
      </c>
      <c r="B32" s="1">
        <v>1</v>
      </c>
      <c r="C32" s="1">
        <v>1</v>
      </c>
      <c r="D32" s="1">
        <v>1</v>
      </c>
      <c r="E32" s="1">
        <v>1000</v>
      </c>
      <c r="F32" s="1">
        <v>1000</v>
      </c>
      <c r="G32" s="1">
        <v>1000</v>
      </c>
      <c r="H32" s="1">
        <v>1000</v>
      </c>
      <c r="I32" s="1">
        <v>1000</v>
      </c>
      <c r="J32" s="1">
        <v>1000</v>
      </c>
    </row>
    <row r="33" spans="1:11" x14ac:dyDescent="0.2">
      <c r="A33" t="s">
        <v>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1" s="52" customFormat="1" ht="32" x14ac:dyDescent="0.2">
      <c r="A34" s="52" t="s">
        <v>56</v>
      </c>
      <c r="B34" s="45">
        <v>0</v>
      </c>
      <c r="C34" s="45">
        <v>0</v>
      </c>
      <c r="D34" s="45">
        <v>0</v>
      </c>
      <c r="E34" s="49">
        <v>0</v>
      </c>
      <c r="F34" s="49">
        <v>0</v>
      </c>
      <c r="G34" s="45">
        <v>0</v>
      </c>
      <c r="H34" s="45">
        <v>0</v>
      </c>
      <c r="I34" s="45">
        <v>0</v>
      </c>
      <c r="J34" s="45">
        <v>0</v>
      </c>
      <c r="K34" s="46" t="s">
        <v>57</v>
      </c>
    </row>
    <row r="35" spans="1:11" s="29" customFormat="1" ht="45" customHeight="1" x14ac:dyDescent="0.2">
      <c r="A35" s="29" t="s">
        <v>49</v>
      </c>
      <c r="B35" s="30" t="s">
        <v>47</v>
      </c>
      <c r="C35" s="29" t="s">
        <v>47</v>
      </c>
      <c r="D35" s="29" t="s">
        <v>47</v>
      </c>
      <c r="E35" s="29" t="s">
        <v>47</v>
      </c>
      <c r="F35" s="51" t="s">
        <v>48</v>
      </c>
      <c r="H35" s="50" t="s">
        <v>78</v>
      </c>
      <c r="I35" s="50"/>
      <c r="J35" s="50"/>
      <c r="K35" s="37"/>
    </row>
    <row r="36" spans="1:11" x14ac:dyDescent="0.2">
      <c r="B36" s="3"/>
    </row>
    <row r="37" spans="1:11" x14ac:dyDescent="0.2">
      <c r="B37" s="3"/>
    </row>
    <row r="38" spans="1:11" s="2" customFormat="1" ht="48" x14ac:dyDescent="0.2">
      <c r="A38" s="32" t="s">
        <v>13</v>
      </c>
      <c r="B38" s="32" t="s">
        <v>7</v>
      </c>
      <c r="C38" s="33" t="s">
        <v>9</v>
      </c>
      <c r="D38" s="33" t="s">
        <v>8</v>
      </c>
      <c r="E38" s="34" t="s">
        <v>11</v>
      </c>
      <c r="F38" s="33" t="s">
        <v>10</v>
      </c>
      <c r="G38" s="33" t="s">
        <v>12</v>
      </c>
      <c r="H38" s="33" t="s">
        <v>69</v>
      </c>
      <c r="I38" s="33" t="s">
        <v>68</v>
      </c>
      <c r="J38" s="33" t="s">
        <v>74</v>
      </c>
      <c r="K38" s="32"/>
    </row>
    <row r="39" spans="1:11" x14ac:dyDescent="0.2">
      <c r="A39" t="s">
        <v>6</v>
      </c>
      <c r="I39" s="47"/>
      <c r="J39" s="47"/>
      <c r="K39" s="47"/>
    </row>
    <row r="40" spans="1:11" x14ac:dyDescent="0.2">
      <c r="A40" s="8" t="s">
        <v>15</v>
      </c>
      <c r="B40" s="10">
        <f t="shared" ref="B40:J40" si="2">+$C$9*B$27</f>
        <v>40</v>
      </c>
      <c r="C40" s="10">
        <f t="shared" si="2"/>
        <v>50</v>
      </c>
      <c r="D40" s="10">
        <f t="shared" si="2"/>
        <v>100</v>
      </c>
      <c r="E40" s="10">
        <f t="shared" si="2"/>
        <v>23.552</v>
      </c>
      <c r="F40" s="10">
        <f t="shared" si="2"/>
        <v>12.8</v>
      </c>
      <c r="G40" s="10">
        <f t="shared" si="2"/>
        <v>24.576000000000001</v>
      </c>
      <c r="H40" s="10">
        <f t="shared" si="2"/>
        <v>4.0960000000000001</v>
      </c>
      <c r="I40" s="10">
        <f t="shared" si="2"/>
        <v>4.0960000000000001</v>
      </c>
      <c r="J40" s="10">
        <f t="shared" si="2"/>
        <v>4.0960000000000001</v>
      </c>
      <c r="K40" s="48"/>
    </row>
    <row r="41" spans="1:11" x14ac:dyDescent="0.2">
      <c r="A41" s="8" t="s">
        <v>22</v>
      </c>
      <c r="B41" s="10">
        <f>+$B$10*B$29/B$30*$B$11</f>
        <v>0</v>
      </c>
      <c r="C41" s="10">
        <f>+$B$10*C$29/C$30*$B$11</f>
        <v>0</v>
      </c>
      <c r="D41" s="10">
        <f>+$B$10*D$29/D$30*$B$11</f>
        <v>0</v>
      </c>
      <c r="E41" s="10">
        <f>+$B$10*E$29/E$30*$B$11</f>
        <v>4.0000000000000002E-4</v>
      </c>
      <c r="F41" s="10">
        <f>+$B$10*F$29/F$30*$B$11</f>
        <v>1E-3</v>
      </c>
      <c r="G41" s="10">
        <f t="shared" ref="G41:J41" si="3">+$B$10*G$29/G$30*$B$11</f>
        <v>4.0000000000000002E-4</v>
      </c>
      <c r="H41" s="10">
        <f t="shared" si="3"/>
        <v>50</v>
      </c>
      <c r="I41" s="10">
        <f t="shared" si="3"/>
        <v>0.05</v>
      </c>
      <c r="J41" s="10">
        <f t="shared" si="3"/>
        <v>2.5000000000000001E-2</v>
      </c>
      <c r="K41" s="48"/>
    </row>
    <row r="42" spans="1:11" x14ac:dyDescent="0.2">
      <c r="A42" s="8" t="s">
        <v>26</v>
      </c>
      <c r="B42" s="10">
        <f>+$B$10*B$28*$C$12*$B$11</f>
        <v>0</v>
      </c>
      <c r="C42" s="10">
        <f>+$B$10*C$28*$C$12*$B$11</f>
        <v>0</v>
      </c>
      <c r="D42" s="10">
        <f>+$B$10*D$28*$C$12*$B$11</f>
        <v>0</v>
      </c>
      <c r="E42" s="10">
        <f>+$B$10*E$28*$C$12*$B$11</f>
        <v>0</v>
      </c>
      <c r="F42" s="10">
        <f>+$B$10*F$28*$C$12*$B$11</f>
        <v>1.953125E-2</v>
      </c>
      <c r="G42" s="10">
        <f t="shared" ref="G42:J42" si="4">+$B$10*G$28*$C$12*$B$11</f>
        <v>0</v>
      </c>
      <c r="H42" s="10">
        <f t="shared" si="4"/>
        <v>5.859375E-2</v>
      </c>
      <c r="I42" s="10">
        <f t="shared" si="4"/>
        <v>1.953125E-2</v>
      </c>
      <c r="J42" s="10">
        <f t="shared" si="4"/>
        <v>4.8828125E-3</v>
      </c>
      <c r="K42" s="48"/>
    </row>
    <row r="43" spans="1:11" s="57" customFormat="1" x14ac:dyDescent="0.2">
      <c r="A43" s="54" t="s">
        <v>77</v>
      </c>
      <c r="B43" s="55">
        <f>SUM(B40:B42)</f>
        <v>40</v>
      </c>
      <c r="C43" s="55">
        <f t="shared" ref="C43:J43" si="5">SUM(C40:C42)</f>
        <v>50</v>
      </c>
      <c r="D43" s="55">
        <f t="shared" si="5"/>
        <v>100</v>
      </c>
      <c r="E43" s="55">
        <f t="shared" si="5"/>
        <v>23.552399999999999</v>
      </c>
      <c r="F43" s="55">
        <f t="shared" si="5"/>
        <v>12.82053125</v>
      </c>
      <c r="G43" s="55">
        <f t="shared" si="5"/>
        <v>24.5764</v>
      </c>
      <c r="H43" s="55">
        <f t="shared" si="5"/>
        <v>54.154593750000004</v>
      </c>
      <c r="I43" s="55">
        <f t="shared" si="5"/>
        <v>4.1655312499999999</v>
      </c>
      <c r="J43" s="55">
        <f t="shared" si="5"/>
        <v>4.1258828125000004</v>
      </c>
      <c r="K43" s="56"/>
    </row>
    <row r="44" spans="1:11" x14ac:dyDescent="0.2">
      <c r="A44" s="8"/>
      <c r="K44" s="48"/>
    </row>
    <row r="45" spans="1:11" x14ac:dyDescent="0.2">
      <c r="A45" t="s">
        <v>14</v>
      </c>
      <c r="K45" s="48"/>
    </row>
    <row r="46" spans="1:11" x14ac:dyDescent="0.2">
      <c r="A46" s="8" t="s">
        <v>15</v>
      </c>
      <c r="B46" s="53">
        <f t="shared" ref="B46:J46" si="6">+$C$13*B$27</f>
        <v>40</v>
      </c>
      <c r="C46" s="53">
        <f t="shared" si="6"/>
        <v>50</v>
      </c>
      <c r="D46" s="53">
        <f t="shared" si="6"/>
        <v>100</v>
      </c>
      <c r="E46" s="53">
        <f t="shared" si="6"/>
        <v>23.552</v>
      </c>
      <c r="F46" s="53">
        <f t="shared" si="6"/>
        <v>12.8</v>
      </c>
      <c r="G46" s="53">
        <f t="shared" si="6"/>
        <v>24.576000000000001</v>
      </c>
      <c r="H46" s="53">
        <f t="shared" si="6"/>
        <v>4.0960000000000001</v>
      </c>
      <c r="I46" s="53">
        <f t="shared" si="6"/>
        <v>4.0960000000000001</v>
      </c>
      <c r="J46" s="53">
        <f t="shared" si="6"/>
        <v>4.0960000000000001</v>
      </c>
      <c r="K46" s="48"/>
    </row>
    <row r="47" spans="1:11" x14ac:dyDescent="0.2">
      <c r="A47" s="8" t="s">
        <v>24</v>
      </c>
      <c r="B47" s="53">
        <f t="shared" ref="B47:E47" si="7">+$B$14*B$29/B$30*$B$15+$B$14*B$31/B$32*$B$16</f>
        <v>0</v>
      </c>
      <c r="C47" s="53">
        <f t="shared" si="7"/>
        <v>0</v>
      </c>
      <c r="D47" s="53">
        <f t="shared" si="7"/>
        <v>0</v>
      </c>
      <c r="E47" s="53">
        <f t="shared" si="7"/>
        <v>2.16</v>
      </c>
      <c r="F47" s="53">
        <f>+$B$14*F$29/F$30*$B$15+$B$14*F$31/F$32*$B$16</f>
        <v>4.4000000000000004</v>
      </c>
      <c r="G47" s="53">
        <f t="shared" ref="G47:J47" si="8">+$B$14*G$29/G$30*$B$15+$B$14*G$31/G$32*$B$16</f>
        <v>2.16</v>
      </c>
      <c r="H47" s="53">
        <f t="shared" si="8"/>
        <v>20002</v>
      </c>
      <c r="I47" s="53">
        <f t="shared" si="8"/>
        <v>40</v>
      </c>
      <c r="J47" s="53">
        <f t="shared" si="8"/>
        <v>30</v>
      </c>
      <c r="K47" s="48"/>
    </row>
    <row r="48" spans="1:11" x14ac:dyDescent="0.2">
      <c r="A48" s="8" t="s">
        <v>25</v>
      </c>
      <c r="B48" s="53">
        <f t="shared" ref="B48:E48" si="9">+$B$14*B$28*$C$17*$B$15</f>
        <v>0</v>
      </c>
      <c r="C48" s="53">
        <f t="shared" si="9"/>
        <v>0</v>
      </c>
      <c r="D48" s="53">
        <f t="shared" si="9"/>
        <v>0</v>
      </c>
      <c r="E48" s="53">
        <f t="shared" si="9"/>
        <v>0</v>
      </c>
      <c r="F48" s="53">
        <f>+$B$14*F$28*$C$17*$B$15</f>
        <v>7.8125</v>
      </c>
      <c r="G48" s="53">
        <f t="shared" ref="G48:J48" si="10">+$B$14*G$28*$C$17*$B$15</f>
        <v>0</v>
      </c>
      <c r="H48" s="53">
        <f t="shared" si="10"/>
        <v>23.4375</v>
      </c>
      <c r="I48" s="53">
        <f t="shared" si="10"/>
        <v>7.8125</v>
      </c>
      <c r="J48" s="53">
        <f t="shared" si="10"/>
        <v>1.953125</v>
      </c>
      <c r="K48" s="48"/>
    </row>
    <row r="49" spans="1:11" s="57" customFormat="1" x14ac:dyDescent="0.2">
      <c r="A49" s="54" t="s">
        <v>76</v>
      </c>
      <c r="B49" s="55">
        <f>SUM(B46:B48)</f>
        <v>40</v>
      </c>
      <c r="C49" s="55">
        <f t="shared" ref="C49:J49" si="11">SUM(C46:C48)</f>
        <v>50</v>
      </c>
      <c r="D49" s="55">
        <f t="shared" si="11"/>
        <v>100</v>
      </c>
      <c r="E49" s="55">
        <f t="shared" si="11"/>
        <v>25.712</v>
      </c>
      <c r="F49" s="55">
        <f t="shared" si="11"/>
        <v>25.012500000000003</v>
      </c>
      <c r="G49" s="55">
        <f t="shared" si="11"/>
        <v>26.736000000000001</v>
      </c>
      <c r="H49" s="55">
        <f t="shared" si="11"/>
        <v>20029.533500000001</v>
      </c>
      <c r="I49" s="55">
        <f t="shared" si="11"/>
        <v>51.908500000000004</v>
      </c>
      <c r="J49" s="55">
        <f t="shared" si="11"/>
        <v>36.049125000000004</v>
      </c>
      <c r="K49" s="56"/>
    </row>
    <row r="50" spans="1:11" x14ac:dyDescent="0.2">
      <c r="K50" s="48"/>
    </row>
    <row r="53" spans="1:11" s="2" customFormat="1" x14ac:dyDescent="0.2">
      <c r="A53" s="25" t="s">
        <v>35</v>
      </c>
      <c r="B53" s="25"/>
    </row>
    <row r="54" spans="1:11" s="2" customFormat="1" x14ac:dyDescent="0.2">
      <c r="A54" s="28" t="s">
        <v>54</v>
      </c>
      <c r="B54" s="25"/>
    </row>
    <row r="55" spans="1:11" s="2" customFormat="1" x14ac:dyDescent="0.2">
      <c r="A55" s="19" t="s">
        <v>55</v>
      </c>
      <c r="B55" s="20">
        <f>+$C$17</f>
        <v>1.953125E-3</v>
      </c>
    </row>
    <row r="56" spans="1:11" x14ac:dyDescent="0.2">
      <c r="A56" s="21" t="s">
        <v>42</v>
      </c>
      <c r="B56" s="22">
        <f>+$C$17/$E19*8</f>
        <v>0.05</v>
      </c>
    </row>
    <row r="57" spans="1:11" x14ac:dyDescent="0.2">
      <c r="A57" s="21" t="s">
        <v>63</v>
      </c>
      <c r="B57" s="22">
        <f>+$C$17/$E20*8</f>
        <v>0.05</v>
      </c>
    </row>
    <row r="58" spans="1:11" x14ac:dyDescent="0.2">
      <c r="A58" s="21" t="s">
        <v>64</v>
      </c>
      <c r="B58" s="22">
        <f>+$C$17/$E21*8</f>
        <v>2.1052631578947368E-2</v>
      </c>
    </row>
    <row r="59" spans="1:11" x14ac:dyDescent="0.2">
      <c r="A59" s="21" t="s">
        <v>65</v>
      </c>
      <c r="B59" s="22">
        <f>+$C$17/$E22*8</f>
        <v>5.4054054054054057E-2</v>
      </c>
    </row>
    <row r="60" spans="1:11" x14ac:dyDescent="0.2">
      <c r="A60" s="21" t="s">
        <v>66</v>
      </c>
      <c r="B60" s="22">
        <f>+$C$17/$E23*8</f>
        <v>1.9417475728155338E-2</v>
      </c>
    </row>
    <row r="61" spans="1:11" x14ac:dyDescent="0.2">
      <c r="A61" s="26"/>
      <c r="B61" s="26"/>
    </row>
    <row r="62" spans="1:11" x14ac:dyDescent="0.2">
      <c r="A62" s="19" t="s">
        <v>52</v>
      </c>
      <c r="B62" s="23">
        <v>10</v>
      </c>
    </row>
    <row r="63" spans="1:11" x14ac:dyDescent="0.2">
      <c r="A63" s="21" t="s">
        <v>42</v>
      </c>
      <c r="B63" s="24">
        <f>B$62*8/$E19</f>
        <v>256</v>
      </c>
    </row>
    <row r="64" spans="1:11" x14ac:dyDescent="0.2">
      <c r="A64" s="21" t="s">
        <v>63</v>
      </c>
      <c r="B64" s="24">
        <f>B$62*8/$E20</f>
        <v>256</v>
      </c>
    </row>
    <row r="65" spans="1:2" x14ac:dyDescent="0.2">
      <c r="A65" s="21" t="s">
        <v>64</v>
      </c>
      <c r="B65" s="24">
        <f>B$62*8/$E21</f>
        <v>107.78947368421052</v>
      </c>
    </row>
    <row r="66" spans="1:2" x14ac:dyDescent="0.2">
      <c r="A66" s="21" t="s">
        <v>65</v>
      </c>
      <c r="B66" s="24">
        <f>B$62*8/$E22</f>
        <v>276.75675675675677</v>
      </c>
    </row>
    <row r="67" spans="1:2" x14ac:dyDescent="0.2">
      <c r="A67" s="21" t="s">
        <v>66</v>
      </c>
      <c r="B67" s="24">
        <f>B$62*8/$E23</f>
        <v>99.417475728155338</v>
      </c>
    </row>
  </sheetData>
  <mergeCells count="5">
    <mergeCell ref="A1:K1"/>
    <mergeCell ref="F18:I18"/>
    <mergeCell ref="F20:I23"/>
    <mergeCell ref="A4:K6"/>
    <mergeCell ref="H35:J35"/>
  </mergeCells>
  <hyperlinks>
    <hyperlink ref="G9" r:id="rId1" display="Comparison of storage types"/>
    <hyperlink ref="G10" r:id="rId2"/>
    <hyperlink ref="G12" r:id="rId3"/>
    <hyperlink ref="G11" r:id="rId4"/>
    <hyperlink ref="F20" r:id="rId5"/>
    <hyperlink ref="G13" r:id="rId6"/>
  </hyperlinks>
  <pageMargins left="0.7" right="0.7" top="0.75" bottom="0.75" header="0.3" footer="0.3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2016-03-15T16:41:38Z</dcterms:created>
  <dcterms:modified xsi:type="dcterms:W3CDTF">2016-11-28T14:43:40Z</dcterms:modified>
</cp:coreProperties>
</file>