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929"/>
  <workbookPr codeName="ThisWorkbook" autoCompressPictures="0"/>
  <bookViews>
    <workbookView xWindow="0" yWindow="0" windowWidth="25040" windowHeight="13620" tabRatio="850" activeTab="1"/>
  </bookViews>
  <sheets>
    <sheet name="Initial dilution" sheetId="9" r:id="rId1"/>
    <sheet name="Normalization and Pooling" sheetId="8" r:id="rId2"/>
    <sheet name="Sample Sheet" sheetId="2" r:id="rId3"/>
    <sheet name="Read Metrics" sheetId="10" r:id="rId4"/>
    <sheet name="Initial DNA Qubit raw data" sheetId="7" r:id="rId5"/>
    <sheet name="Initial DNA Nanodrop raw data" sheetId="6" r:id="rId6"/>
    <sheet name="Pre-clean up Qubit raw data" sheetId="5" r:id="rId7"/>
    <sheet name="Post-clean up Qubit raw data" sheetId="4" r:id="rId8"/>
    <sheet name="Indices" sheetId="1" r:id="rId9"/>
  </sheets>
  <definedNames>
    <definedName name="_xlnm._FilterDatabase" localSheetId="0" hidden="1">'Initial dilution'!$A$1:$P$25</definedName>
    <definedName name="_xlnm.Print_Area" localSheetId="0">'Initial dilution'!$A$1:$P$42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B37" i="2"/>
  <c r="A37" i="2"/>
  <c r="C37" i="2"/>
  <c r="D37" i="2"/>
  <c r="E37" i="2"/>
  <c r="F37" i="2"/>
  <c r="G37" i="2"/>
  <c r="H37" i="2"/>
  <c r="I37" i="2"/>
  <c r="B38" i="2"/>
  <c r="A38" i="2"/>
  <c r="C38" i="2"/>
  <c r="D38" i="2"/>
  <c r="E38" i="2"/>
  <c r="F38" i="2"/>
  <c r="G38" i="2"/>
  <c r="H38" i="2"/>
  <c r="I38" i="2"/>
  <c r="B39" i="2"/>
  <c r="A39" i="2"/>
  <c r="C39" i="2"/>
  <c r="D39" i="2"/>
  <c r="E39" i="2"/>
  <c r="F39" i="2"/>
  <c r="G39" i="2"/>
  <c r="H39" i="2"/>
  <c r="I39" i="2"/>
  <c r="B40" i="2"/>
  <c r="A40" i="2"/>
  <c r="C40" i="2"/>
  <c r="D40" i="2"/>
  <c r="E40" i="2"/>
  <c r="F40" i="2"/>
  <c r="G40" i="2"/>
  <c r="H40" i="2"/>
  <c r="I40" i="2"/>
  <c r="A29" i="8"/>
  <c r="B29" i="8"/>
  <c r="C29" i="8"/>
  <c r="D29" i="8"/>
  <c r="G29" i="8"/>
  <c r="H29" i="8"/>
  <c r="I29" i="8"/>
  <c r="A30" i="8"/>
  <c r="B30" i="8"/>
  <c r="C30" i="8"/>
  <c r="D30" i="8"/>
  <c r="G30" i="8"/>
  <c r="H30" i="8"/>
  <c r="I30" i="8"/>
  <c r="A31" i="8"/>
  <c r="B31" i="8"/>
  <c r="C31" i="8"/>
  <c r="D31" i="8"/>
  <c r="G31" i="8"/>
  <c r="H31" i="8"/>
  <c r="I31" i="8"/>
  <c r="A32" i="8"/>
  <c r="B32" i="8"/>
  <c r="C32" i="8"/>
  <c r="D32" i="8"/>
  <c r="G32" i="8"/>
  <c r="H32" i="8"/>
  <c r="I32" i="8"/>
  <c r="J26" i="9"/>
  <c r="K26" i="9"/>
  <c r="J27" i="9"/>
  <c r="K27" i="9"/>
  <c r="J28" i="9"/>
  <c r="K28" i="9"/>
  <c r="J29" i="9"/>
  <c r="K29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10" i="9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13" i="8"/>
  <c r="D34" i="8"/>
  <c r="J31" i="8"/>
  <c r="K31" i="8"/>
  <c r="J32" i="8"/>
  <c r="K32" i="8"/>
  <c r="J30" i="8"/>
  <c r="K30" i="8"/>
  <c r="J29" i="8"/>
  <c r="K29" i="8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21" i="2"/>
  <c r="E7" i="10"/>
  <c r="H16" i="10"/>
  <c r="I16" i="10"/>
  <c r="B7" i="10"/>
  <c r="B2" i="10"/>
  <c r="B3" i="8"/>
  <c r="B1" i="10"/>
  <c r="B2" i="8"/>
  <c r="D21" i="2"/>
  <c r="E21" i="2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I17" i="10"/>
  <c r="B33" i="2"/>
  <c r="A33" i="2"/>
  <c r="C33" i="2"/>
  <c r="D33" i="2"/>
  <c r="E33" i="2"/>
  <c r="F33" i="2"/>
  <c r="G33" i="2"/>
  <c r="I33" i="2"/>
  <c r="B34" i="2"/>
  <c r="A34" i="2"/>
  <c r="C34" i="2"/>
  <c r="D34" i="2"/>
  <c r="E34" i="2"/>
  <c r="F34" i="2"/>
  <c r="G34" i="2"/>
  <c r="I34" i="2"/>
  <c r="B35" i="2"/>
  <c r="A35" i="2"/>
  <c r="C35" i="2"/>
  <c r="D35" i="2"/>
  <c r="E35" i="2"/>
  <c r="F35" i="2"/>
  <c r="G35" i="2"/>
  <c r="I35" i="2"/>
  <c r="B36" i="2"/>
  <c r="A36" i="2"/>
  <c r="C36" i="2"/>
  <c r="D36" i="2"/>
  <c r="E36" i="2"/>
  <c r="F36" i="2"/>
  <c r="G36" i="2"/>
  <c r="I36" i="2"/>
  <c r="J18" i="9"/>
  <c r="K18" i="9"/>
  <c r="J19" i="9"/>
  <c r="K19" i="9"/>
  <c r="J20" i="9"/>
  <c r="K20" i="9"/>
  <c r="J21" i="9"/>
  <c r="K21" i="9"/>
  <c r="J22" i="9"/>
  <c r="K22" i="9"/>
  <c r="J23" i="9"/>
  <c r="K23" i="9"/>
  <c r="J24" i="9"/>
  <c r="K24" i="9"/>
  <c r="J25" i="9"/>
  <c r="K25" i="9"/>
  <c r="I23" i="2"/>
  <c r="I24" i="2"/>
  <c r="I25" i="2"/>
  <c r="I26" i="2"/>
  <c r="I27" i="2"/>
  <c r="I28" i="2"/>
  <c r="I29" i="2"/>
  <c r="I30" i="2"/>
  <c r="I31" i="2"/>
  <c r="I32" i="2"/>
  <c r="I21" i="2"/>
  <c r="I22" i="2"/>
  <c r="F22" i="2"/>
  <c r="G22" i="2"/>
  <c r="F23" i="2"/>
  <c r="G23" i="2"/>
  <c r="F24" i="2"/>
  <c r="G24" i="2"/>
  <c r="F25" i="2"/>
  <c r="G25" i="2"/>
  <c r="F26" i="2"/>
  <c r="G26" i="2"/>
  <c r="F27" i="2"/>
  <c r="G27" i="2"/>
  <c r="F28" i="2"/>
  <c r="G28" i="2"/>
  <c r="F29" i="2"/>
  <c r="G29" i="2"/>
  <c r="F30" i="2"/>
  <c r="G30" i="2"/>
  <c r="F31" i="2"/>
  <c r="G31" i="2"/>
  <c r="F32" i="2"/>
  <c r="G32" i="2"/>
  <c r="D32" i="2"/>
  <c r="E32" i="2"/>
  <c r="C32" i="2"/>
  <c r="B32" i="2"/>
  <c r="A32" i="2"/>
  <c r="D31" i="2"/>
  <c r="E31" i="2"/>
  <c r="C31" i="2"/>
  <c r="B31" i="2"/>
  <c r="A31" i="2"/>
  <c r="D30" i="2"/>
  <c r="E30" i="2"/>
  <c r="C30" i="2"/>
  <c r="B30" i="2"/>
  <c r="A30" i="2"/>
  <c r="D29" i="2"/>
  <c r="E29" i="2"/>
  <c r="C29" i="2"/>
  <c r="B29" i="2"/>
  <c r="A29" i="2"/>
  <c r="D28" i="2"/>
  <c r="E28" i="2"/>
  <c r="C28" i="2"/>
  <c r="B28" i="2"/>
  <c r="A28" i="2"/>
  <c r="D27" i="2"/>
  <c r="E27" i="2"/>
  <c r="C27" i="2"/>
  <c r="B27" i="2"/>
  <c r="A27" i="2"/>
  <c r="D26" i="2"/>
  <c r="E26" i="2"/>
  <c r="C26" i="2"/>
  <c r="B26" i="2"/>
  <c r="A26" i="2"/>
  <c r="D25" i="2"/>
  <c r="E25" i="2"/>
  <c r="C25" i="2"/>
  <c r="B25" i="2"/>
  <c r="A25" i="2"/>
  <c r="D24" i="2"/>
  <c r="E24" i="2"/>
  <c r="C24" i="2"/>
  <c r="B24" i="2"/>
  <c r="A24" i="2"/>
  <c r="D23" i="2"/>
  <c r="E23" i="2"/>
  <c r="C23" i="2"/>
  <c r="B23" i="2"/>
  <c r="A23" i="2"/>
  <c r="D22" i="2"/>
  <c r="E22" i="2"/>
  <c r="C22" i="2"/>
  <c r="B22" i="2"/>
  <c r="A22" i="2"/>
  <c r="F21" i="2"/>
  <c r="G21" i="2"/>
  <c r="C21" i="2"/>
  <c r="B21" i="2"/>
  <c r="A21" i="2"/>
  <c r="B4" i="2"/>
  <c r="B3" i="2"/>
  <c r="G28" i="8"/>
  <c r="H28" i="8"/>
  <c r="I28" i="8"/>
  <c r="G27" i="8"/>
  <c r="H27" i="8"/>
  <c r="I27" i="8"/>
  <c r="G26" i="8"/>
  <c r="H26" i="8"/>
  <c r="I26" i="8"/>
  <c r="G25" i="8"/>
  <c r="H25" i="8"/>
  <c r="I25" i="8"/>
  <c r="G24" i="8"/>
  <c r="H24" i="8"/>
  <c r="I24" i="8"/>
  <c r="G23" i="8"/>
  <c r="H23" i="8"/>
  <c r="I23" i="8"/>
  <c r="G22" i="8"/>
  <c r="H22" i="8"/>
  <c r="I22" i="8"/>
  <c r="G21" i="8"/>
  <c r="H21" i="8"/>
  <c r="I21" i="8"/>
  <c r="G20" i="8"/>
  <c r="H20" i="8"/>
  <c r="I20" i="8"/>
  <c r="G19" i="8"/>
  <c r="H19" i="8"/>
  <c r="I19" i="8"/>
  <c r="G18" i="8"/>
  <c r="H18" i="8"/>
  <c r="I18" i="8"/>
  <c r="G17" i="8"/>
  <c r="H17" i="8"/>
  <c r="I17" i="8"/>
  <c r="G16" i="8"/>
  <c r="H16" i="8"/>
  <c r="I16" i="8"/>
  <c r="G15" i="8"/>
  <c r="H15" i="8"/>
  <c r="I15" i="8"/>
  <c r="G14" i="8"/>
  <c r="H14" i="8"/>
  <c r="I14" i="8"/>
  <c r="G13" i="8"/>
  <c r="H13" i="8"/>
  <c r="I13" i="8"/>
  <c r="B5" i="8"/>
  <c r="J17" i="9"/>
  <c r="K17" i="9"/>
  <c r="J16" i="9"/>
  <c r="K16" i="9"/>
  <c r="J15" i="9"/>
  <c r="K15" i="9"/>
  <c r="J14" i="9"/>
  <c r="K14" i="9"/>
  <c r="J13" i="9"/>
  <c r="K13" i="9"/>
  <c r="J12" i="9"/>
  <c r="K12" i="9"/>
  <c r="J11" i="9"/>
  <c r="K11" i="9"/>
  <c r="J10" i="9"/>
  <c r="K10" i="9"/>
  <c r="J14" i="8"/>
  <c r="J26" i="8"/>
  <c r="K26" i="8"/>
  <c r="J23" i="8"/>
  <c r="K23" i="8"/>
  <c r="J24" i="8"/>
  <c r="K24" i="8"/>
  <c r="J17" i="8"/>
  <c r="K17" i="8"/>
  <c r="J13" i="8"/>
  <c r="K13" i="8"/>
  <c r="J20" i="8"/>
  <c r="K20" i="8"/>
  <c r="J27" i="8"/>
  <c r="K27" i="8"/>
  <c r="J22" i="8"/>
  <c r="K22" i="8"/>
  <c r="J25" i="8"/>
  <c r="K25" i="8"/>
  <c r="J15" i="8"/>
  <c r="K15" i="8"/>
  <c r="J16" i="8"/>
  <c r="K16" i="8"/>
  <c r="J18" i="8"/>
  <c r="K18" i="8"/>
  <c r="J21" i="8"/>
  <c r="K21" i="8"/>
  <c r="J28" i="8"/>
  <c r="K28" i="8"/>
  <c r="J19" i="8"/>
  <c r="K19" i="8"/>
  <c r="K14" i="8"/>
</calcChain>
</file>

<file path=xl/sharedStrings.xml><?xml version="1.0" encoding="utf-8"?>
<sst xmlns="http://schemas.openxmlformats.org/spreadsheetml/2006/main" count="493" uniqueCount="248">
  <si>
    <t>Initial Dilution Worksheet</t>
  </si>
  <si>
    <t>Instructions</t>
  </si>
  <si>
    <t>Dilution calculation:  V1 = (V2C2)/C1</t>
  </si>
  <si>
    <t>Run Name</t>
  </si>
  <si>
    <t>Starting with this sheet, and moving from top to bottom, fill in all tan shaded cells.</t>
  </si>
  <si>
    <t>Sample Plate Name</t>
  </si>
  <si>
    <t>Where V1 = volume of stock needed for dilution</t>
  </si>
  <si>
    <t>Sample Sheet Name</t>
  </si>
  <si>
    <t>C1 = stock concentration</t>
  </si>
  <si>
    <t>Library Prep Date</t>
  </si>
  <si>
    <t>V2 = 20 ul</t>
  </si>
  <si>
    <t>Technician</t>
  </si>
  <si>
    <t>C2 = 10 ng/ul</t>
  </si>
  <si>
    <t>Serial Dilutions</t>
  </si>
  <si>
    <t>Dilution for Nextera normalization</t>
  </si>
  <si>
    <t>1 ng/ul</t>
  </si>
  <si>
    <t>0.2 ng/ul</t>
  </si>
  <si>
    <t>Nanodrop</t>
  </si>
  <si>
    <t>Qubit</t>
  </si>
  <si>
    <t>10 ng/ul (20 ul total volume)</t>
  </si>
  <si>
    <t>Well position</t>
  </si>
  <si>
    <t>Sample ID</t>
  </si>
  <si>
    <t>Organism</t>
  </si>
  <si>
    <t>Index 1</t>
  </si>
  <si>
    <t>Index 2</t>
  </si>
  <si>
    <t>Purity (260/280 ratio)</t>
  </si>
  <si>
    <t>DNA</t>
  </si>
  <si>
    <t>Diluent
(dH2O)</t>
  </si>
  <si>
    <t>Notes:</t>
  </si>
  <si>
    <t>Reagents</t>
  </si>
  <si>
    <t>Lot no.</t>
  </si>
  <si>
    <t>Exp. Date</t>
  </si>
  <si>
    <t>TD Buffer</t>
  </si>
  <si>
    <t>ATM</t>
  </si>
  <si>
    <t>NT Buffer</t>
  </si>
  <si>
    <t>NPM</t>
  </si>
  <si>
    <t>Indices</t>
  </si>
  <si>
    <t>RSB</t>
  </si>
  <si>
    <t>EBT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</si>
  <si>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</si>
  <si>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</si>
  <si>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</si>
  <si>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</si>
  <si>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</si>
  <si>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</si>
  <si>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</si>
  <si>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</si>
  <si>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</si>
  <si>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</si>
  <si>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</si>
  <si>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</si>
  <si>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</si>
  <si>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</si>
  <si>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</si>
  <si>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</si>
  <si>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Normalization and Pooling Worksheet</t>
  </si>
  <si>
    <t>Pooling Factor:  Proportion of sample genome size relative to total DNA load</t>
  </si>
  <si>
    <t>Pooling Volume: Pooling Factor * 50 ul pool</t>
  </si>
  <si>
    <t>ng/uL to nM conversion factor (nm*uL/ng):</t>
  </si>
  <si>
    <t>Date</t>
  </si>
  <si>
    <t>Dilution conc (nM):</t>
  </si>
  <si>
    <t>Dilution volume (uL):</t>
  </si>
  <si>
    <t>NOTE:  All sample names should end with Plate ID (eg. 2012K-0644_1-M947-13-001)</t>
  </si>
  <si>
    <t>Pooling volume (uL):</t>
  </si>
  <si>
    <t>Optional</t>
  </si>
  <si>
    <t>pre-clean</t>
  </si>
  <si>
    <t>Qubit Output</t>
  </si>
  <si>
    <t>Pooling Factor</t>
  </si>
  <si>
    <t>Pooling Volume (50ul)</t>
  </si>
  <si>
    <t>up Qubit</t>
  </si>
  <si>
    <t>Genome Size</t>
  </si>
  <si>
    <t>(ng/uL)</t>
  </si>
  <si>
    <t>nM</t>
  </si>
  <si>
    <t>Sample</t>
  </si>
  <si>
    <t>Comments</t>
  </si>
  <si>
    <t>Total DNA load</t>
  </si>
  <si>
    <t>Lot #</t>
  </si>
  <si>
    <t>Exp date</t>
  </si>
  <si>
    <t>Incorporation buffer</t>
  </si>
  <si>
    <t>MiSeq cartridge</t>
  </si>
  <si>
    <t>Flow cell</t>
  </si>
  <si>
    <t>Post-Run Metrics</t>
  </si>
  <si>
    <t>Cluster Density</t>
  </si>
  <si>
    <t>Clusters Passing Filter</t>
  </si>
  <si>
    <t>Q30</t>
  </si>
  <si>
    <t>Estimated Yield</t>
  </si>
  <si>
    <t>[Header]</t>
  </si>
  <si>
    <t>IEMFileVersion</t>
  </si>
  <si>
    <t>Investigator Name</t>
  </si>
  <si>
    <t>Workflow</t>
  </si>
  <si>
    <t>GenerateFASTQ</t>
  </si>
  <si>
    <t>Application</t>
  </si>
  <si>
    <t>FASTQ Only</t>
  </si>
  <si>
    <t>Assay</t>
  </si>
  <si>
    <t>Nextera XT</t>
  </si>
  <si>
    <t>Description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</si>
  <si>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</si>
  <si>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</si>
  <si>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</si>
  <si>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</si>
  <si>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</si>
  <si>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</si>
  <si>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</si>
  <si>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</si>
  <si>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</si>
  <si>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</si>
  <si>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</si>
  <si>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</si>
  <si>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</si>
  <si>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</si>
  <si>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</si>
  <si>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</si>
  <si>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IndexName</t>
  </si>
  <si>
    <t>BasesForSampleSheet</t>
  </si>
  <si>
    <t>N701</t>
  </si>
  <si>
    <t>TAAGGCGA</t>
  </si>
  <si>
    <t>N702</t>
  </si>
  <si>
    <t>CGTACTAG</t>
  </si>
  <si>
    <t>N703</t>
  </si>
  <si>
    <t>AGGCAGAA</t>
  </si>
  <si>
    <t>N704</t>
  </si>
  <si>
    <t>TCCTGAGC</t>
  </si>
  <si>
    <t>N705</t>
  </si>
  <si>
    <t>GGACTCCT</t>
  </si>
  <si>
    <t>N706</t>
  </si>
  <si>
    <t>TAGGCATG</t>
  </si>
  <si>
    <t>N707</t>
  </si>
  <si>
    <t>CTCTCTAC</t>
  </si>
  <si>
    <t>N708</t>
  </si>
  <si>
    <t>CAGAGAGG</t>
  </si>
  <si>
    <t>N709</t>
  </si>
  <si>
    <t>GCTACGCT</t>
  </si>
  <si>
    <t>N710</t>
  </si>
  <si>
    <t>CGAGGCTG</t>
  </si>
  <si>
    <t>N711</t>
  </si>
  <si>
    <t>AAGAGGCA</t>
  </si>
  <si>
    <t>N712</t>
  </si>
  <si>
    <t>GTAGAGGA</t>
  </si>
  <si>
    <t>S501</t>
  </si>
  <si>
    <t>TAGATCGC</t>
  </si>
  <si>
    <t>S502</t>
  </si>
  <si>
    <t>CTCTCTAT</t>
  </si>
  <si>
    <t>S503</t>
  </si>
  <si>
    <t>TATCCTCT</t>
  </si>
  <si>
    <t>S504</t>
  </si>
  <si>
    <t>AGAGTAGA</t>
  </si>
  <si>
    <t>S505</t>
  </si>
  <si>
    <t>GTAAGGAG</t>
  </si>
  <si>
    <t>S506</t>
  </si>
  <si>
    <t>ACTGCATA</t>
  </si>
  <si>
    <t>S507</t>
  </si>
  <si>
    <t>AAGGAGTA</t>
  </si>
  <si>
    <t>S508</t>
  </si>
  <si>
    <t>CTAAGCCT</t>
  </si>
  <si>
    <t>S517</t>
  </si>
  <si>
    <t>GCGTAAGA</t>
  </si>
  <si>
    <t>XXX</t>
  </si>
  <si>
    <t>NOTE: pooling volume factors in genome size contribution to overall DNA load</t>
  </si>
  <si>
    <t>Index Number</t>
  </si>
  <si>
    <t>Project</t>
  </si>
  <si>
    <t>Index 1 (I7)</t>
  </si>
  <si>
    <t>Index 2 (I5)</t>
  </si>
  <si>
    <t>% Reads Identified (PF)</t>
  </si>
  <si>
    <t>PF Reads</t>
  </si>
  <si>
    <t>Total # of Reads</t>
  </si>
  <si>
    <t>Bioproject ID</t>
  </si>
  <si>
    <t>Index Rotation</t>
  </si>
  <si>
    <t>RUN1</t>
  </si>
  <si>
    <t>RUN2</t>
  </si>
  <si>
    <t>RUN3</t>
  </si>
  <si>
    <t>RUN4</t>
  </si>
  <si>
    <t>Available dilution conc (nM):</t>
  </si>
  <si>
    <t>LabID_MXXXX_YYMMDD</t>
  </si>
  <si>
    <t>BioProject ID</t>
  </si>
  <si>
    <t>Input DNA Stock Conc (ng/ul)</t>
  </si>
  <si>
    <t>NOTE:  All sample names will end with run name (eg. 2012K-0644_1-CDC_M947_151022)</t>
  </si>
  <si>
    <t>Coverage</t>
  </si>
  <si>
    <t>Salmonella</t>
  </si>
  <si>
    <t>Listeria</t>
  </si>
  <si>
    <t>Campylobacter</t>
  </si>
  <si>
    <t>Escherichia/Shigella</t>
  </si>
  <si>
    <t>PNUSAS123456</t>
  </si>
  <si>
    <t>FDA</t>
  </si>
  <si>
    <t xml:space="preserve">CDC </t>
  </si>
  <si>
    <t>Actual Values</t>
  </si>
  <si>
    <t>300 cycle V2 kit</t>
  </si>
  <si>
    <t>500 cycle V2 kit</t>
  </si>
  <si>
    <t>600 cycle V3 kit</t>
  </si>
  <si>
    <t>40X</t>
  </si>
  <si>
    <t>30X</t>
  </si>
  <si>
    <t>20X</t>
  </si>
  <si>
    <t>Minimum Coverage:</t>
  </si>
  <si>
    <t>MiSeq Run Start Date</t>
  </si>
  <si>
    <t>MiSeq Reagent Kit</t>
  </si>
  <si>
    <t>&gt; 80%</t>
  </si>
  <si>
    <t>&gt; 75%</t>
  </si>
  <si>
    <t>Reagent kit quality parameters</t>
  </si>
  <si>
    <t>&gt; 70%</t>
  </si>
  <si>
    <t>Vibrio parahaemolyticus</t>
  </si>
  <si>
    <t>Vibrio cholerae</t>
  </si>
  <si>
    <t>Vibrio vulnificus</t>
  </si>
  <si>
    <t>PNUSAV123456</t>
  </si>
  <si>
    <t>Cluster Density (K/mm^2)</t>
  </si>
  <si>
    <t>Estimated Yield (Gb)</t>
  </si>
  <si>
    <t>4.5 - 5.1</t>
  </si>
  <si>
    <t>7.5 - 8.5</t>
  </si>
  <si>
    <t>13.2 - 15</t>
  </si>
  <si>
    <t>600 - 1300</t>
  </si>
  <si>
    <t>Post-Run Metrics:</t>
  </si>
  <si>
    <t>2015K-1254</t>
  </si>
  <si>
    <t>62015K-125</t>
  </si>
  <si>
    <t>Genome Size Estimate (Mbp)</t>
  </si>
  <si>
    <t xml:space="preserve">
Diluent (EBT)</t>
  </si>
  <si>
    <t>Estimated genome sizes by Genus (species) in bp</t>
  </si>
  <si>
    <t>Beads</t>
  </si>
  <si>
    <t>For 50 ul of 2nM, 3nM, or 4nM</t>
  </si>
  <si>
    <t>RUN6</t>
  </si>
  <si>
    <t>RUN5</t>
  </si>
  <si>
    <t>FSL R9-5257</t>
  </si>
  <si>
    <t>FSL R9-5509</t>
  </si>
  <si>
    <t>FSL R9-5272</t>
  </si>
  <si>
    <t>FSL R9-5273</t>
  </si>
  <si>
    <t>FSL R9-5512</t>
  </si>
  <si>
    <t>FSL S5-395 WT</t>
  </si>
  <si>
    <t>FSL R9-5400</t>
  </si>
  <si>
    <t>FSL R9-5402</t>
  </si>
  <si>
    <t>FSL R9-5409</t>
  </si>
  <si>
    <t>FSL R9-5494</t>
  </si>
  <si>
    <t>FSL R9-5496</t>
  </si>
  <si>
    <t>FSL R9-5497</t>
  </si>
  <si>
    <t>FSL R9-5498</t>
  </si>
  <si>
    <t>FSL R9-5499</t>
  </si>
  <si>
    <r>
      <t xml:space="preserve">FSL S5-395 </t>
    </r>
    <r>
      <rPr>
        <sz val="11"/>
        <rFont val="Calibri"/>
        <family val="2"/>
      </rPr>
      <t>∆phoN</t>
    </r>
  </si>
  <si>
    <t>FSL R2-503</t>
  </si>
  <si>
    <t>Salmonella enterica</t>
  </si>
  <si>
    <r>
      <t xml:space="preserve">Escherichia coli </t>
    </r>
    <r>
      <rPr>
        <sz val="11"/>
        <color theme="1"/>
        <rFont val="Calibri"/>
        <family val="2"/>
        <scheme val="minor"/>
      </rPr>
      <t>O104:H4</t>
    </r>
  </si>
  <si>
    <r>
      <t xml:space="preserve">Escherichia coli </t>
    </r>
    <r>
      <rPr>
        <sz val="11"/>
        <color theme="1"/>
        <rFont val="Calibri"/>
        <family val="2"/>
        <scheme val="minor"/>
      </rPr>
      <t>O121</t>
    </r>
  </si>
  <si>
    <r>
      <t xml:space="preserve">Salmonella enterica </t>
    </r>
    <r>
      <rPr>
        <sz val="11"/>
        <color theme="1"/>
        <rFont val="Calibri"/>
        <family val="2"/>
        <scheme val="minor"/>
      </rPr>
      <t>Enteriditis</t>
    </r>
  </si>
  <si>
    <r>
      <t xml:space="preserve">Salmonella enterica </t>
    </r>
    <r>
      <rPr>
        <sz val="11"/>
        <color theme="1"/>
        <rFont val="Calibri"/>
        <family val="2"/>
        <scheme val="minor"/>
      </rPr>
      <t>Javiana</t>
    </r>
  </si>
  <si>
    <r>
      <t xml:space="preserve">Escherichia coli </t>
    </r>
    <r>
      <rPr>
        <sz val="11"/>
        <color theme="1"/>
        <rFont val="Calibri"/>
        <family val="2"/>
        <scheme val="minor"/>
      </rPr>
      <t>O26:H11</t>
    </r>
  </si>
  <si>
    <r>
      <t xml:space="preserve">Salmonella enterica </t>
    </r>
    <r>
      <rPr>
        <sz val="11"/>
        <color theme="1"/>
        <rFont val="Calibri"/>
        <family val="2"/>
        <scheme val="minor"/>
      </rPr>
      <t>Saintpaul</t>
    </r>
  </si>
  <si>
    <r>
      <t>Salmonella enterica</t>
    </r>
    <r>
      <rPr>
        <sz val="11"/>
        <color theme="1"/>
        <rFont val="Calibri"/>
        <family val="2"/>
        <scheme val="minor"/>
      </rPr>
      <t xml:space="preserve"> Tennessee</t>
    </r>
  </si>
  <si>
    <r>
      <t xml:space="preserve">Salmonella enterica </t>
    </r>
    <r>
      <rPr>
        <sz val="11"/>
        <color theme="1"/>
        <rFont val="Calibri"/>
        <family val="2"/>
        <scheme val="minor"/>
      </rPr>
      <t>Typhimirium</t>
    </r>
  </si>
  <si>
    <r>
      <t>Salmonella enterica</t>
    </r>
    <r>
      <rPr>
        <sz val="11"/>
        <color theme="1"/>
        <rFont val="Calibri"/>
        <family val="2"/>
        <scheme val="minor"/>
      </rPr>
      <t xml:space="preserve"> I 4,[5],12:i:-</t>
    </r>
  </si>
  <si>
    <r>
      <t xml:space="preserve">Salmonella enterica </t>
    </r>
    <r>
      <rPr>
        <sz val="11"/>
        <color theme="1"/>
        <rFont val="Calibri"/>
        <family val="2"/>
        <scheme val="minor"/>
      </rPr>
      <t>Infantis</t>
    </r>
  </si>
  <si>
    <r>
      <t xml:space="preserve">Salmonella enterica </t>
    </r>
    <r>
      <rPr>
        <sz val="11"/>
        <color theme="1"/>
        <rFont val="Calibri"/>
        <family val="2"/>
        <scheme val="minor"/>
      </rPr>
      <t>Muenchen</t>
    </r>
  </si>
  <si>
    <r>
      <t>Salmonella enterica</t>
    </r>
    <r>
      <rPr>
        <sz val="11"/>
        <color theme="1"/>
        <rFont val="Calibri"/>
        <family val="2"/>
        <scheme val="minor"/>
      </rPr>
      <t xml:space="preserve"> I 13,23:b:-</t>
    </r>
  </si>
  <si>
    <r>
      <t xml:space="preserve">Listeria monocytogenes </t>
    </r>
    <r>
      <rPr>
        <sz val="11"/>
        <color theme="1"/>
        <rFont val="Calibri"/>
        <family val="2"/>
        <scheme val="minor"/>
      </rPr>
      <t>[I]1/2b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</si>
</sst>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rgb="FFDDDDDD"/>
      </left>
      <right/>
      <top style="medium">
        <color rgb="FFBEBFC1"/>
      </top>
      <bottom style="medium">
        <color rgb="FFBEBFC1"/>
      </bottom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 style="medium">
        <color rgb="FFDDDDDD"/>
      </left>
      <right style="medium">
        <color rgb="FFBEBFC1"/>
      </right>
      <top style="medium">
        <color rgb="FFBEBFC1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BEBFC1"/>
      </bottom>
      <diagonal/>
    </border>
    <border>
      <left style="medium">
        <color rgb="FFDDDDDD"/>
      </left>
      <right/>
      <top style="medium">
        <color auto="1"/>
      </top>
      <bottom style="medium">
        <color rgb="FFBEBFC1"/>
      </bottom>
      <diagonal/>
    </border>
    <border>
      <left style="medium">
        <color auto="1"/>
      </left>
      <right/>
      <top style="medium">
        <color rgb="FFBEBFC1"/>
      </top>
      <bottom style="medium">
        <color rgb="FFBEBFC1"/>
      </bottom>
      <diagonal/>
    </border>
    <border>
      <left style="medium">
        <color rgb="FFDDDDDD"/>
      </left>
      <right style="medium">
        <color auto="1"/>
      </right>
      <top style="medium">
        <color rgb="FFBEBFC1"/>
      </top>
      <bottom style="medium">
        <color rgb="FFBEBFC1"/>
      </bottom>
      <diagonal/>
    </border>
    <border>
      <left style="medium">
        <color auto="1"/>
      </left>
      <right/>
      <top style="medium">
        <color rgb="FFBEBFC1"/>
      </top>
      <bottom style="medium">
        <color auto="1"/>
      </bottom>
      <diagonal/>
    </border>
    <border>
      <left style="medium">
        <color rgb="FFDDDDDD"/>
      </left>
      <right/>
      <top style="medium">
        <color rgb="FFBEBFC1"/>
      </top>
      <bottom style="medium">
        <color auto="1"/>
      </bottom>
      <diagonal/>
    </border>
    <border>
      <left style="medium">
        <color rgb="FFDDDDDD"/>
      </left>
      <right style="medium">
        <color auto="1"/>
      </right>
      <top style="medium">
        <color rgb="FFBEBFC1"/>
      </top>
      <bottom style="medium">
        <color auto="1"/>
      </bottom>
      <diagonal/>
    </border>
    <border>
      <left style="medium">
        <color auto="1"/>
      </left>
      <right/>
      <top/>
      <bottom style="medium">
        <color rgb="FFBEBFC1"/>
      </bottom>
      <diagonal/>
    </border>
    <border>
      <left style="medium">
        <color rgb="FFDDDDDD"/>
      </left>
      <right/>
      <top/>
      <bottom style="medium">
        <color rgb="FFBEBFC1"/>
      </bottom>
      <diagonal/>
    </border>
    <border>
      <left style="medium">
        <color rgb="FFDDDDDD"/>
      </left>
      <right style="medium">
        <color auto="1"/>
      </right>
      <top/>
      <bottom style="medium">
        <color rgb="FFBEBFC1"/>
      </bottom>
      <diagonal/>
    </border>
    <border>
      <left style="medium">
        <color rgb="FFDDDDDD"/>
      </left>
      <right style="medium">
        <color rgb="FFBEBFC1"/>
      </right>
      <top style="medium">
        <color auto="1"/>
      </top>
      <bottom style="medium">
        <color rgb="FFBEBFC1"/>
      </bottom>
      <diagonal/>
    </border>
    <border>
      <left style="thin">
        <color auto="1"/>
      </left>
      <right/>
      <top style="medium">
        <color auto="1"/>
      </top>
      <bottom style="medium">
        <color rgb="FFBEBFC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rgb="FFBEBFC1"/>
      </bottom>
      <diagonal/>
    </border>
    <border>
      <left style="medium">
        <color auto="1"/>
      </left>
      <right/>
      <top style="medium">
        <color rgb="FFBEBFC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rgb="FFDDDDDD"/>
      </top>
      <bottom/>
      <diagonal/>
    </border>
    <border>
      <left style="medium">
        <color auto="1"/>
      </left>
      <right/>
      <top style="medium">
        <color rgb="FFDDDDDD"/>
      </top>
      <bottom style="medium">
        <color auto="1"/>
      </bottom>
      <diagonal/>
    </border>
    <border>
      <left style="medium">
        <color rgb="FFDDDDDD"/>
      </left>
      <right/>
      <top style="medium">
        <color rgb="FFDDDDDD"/>
      </top>
      <bottom style="medium">
        <color auto="1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2" borderId="0" xfId="0" applyFill="1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0" fillId="0" borderId="3" xfId="0" applyBorder="1"/>
    <xf numFmtId="0" fontId="1" fillId="0" borderId="3" xfId="0" applyFont="1" applyBorder="1" applyAlignment="1">
      <alignment horizontal="right"/>
    </xf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" fillId="0" borderId="17" xfId="0" applyFont="1" applyBorder="1"/>
    <xf numFmtId="0" fontId="0" fillId="0" borderId="18" xfId="0" applyBorder="1" applyAlignment="1">
      <alignment horizontal="center"/>
    </xf>
    <xf numFmtId="0" fontId="0" fillId="2" borderId="18" xfId="0" applyFill="1" applyBorder="1" applyAlignment="1">
      <alignment horizontal="center"/>
    </xf>
    <xf numFmtId="14" fontId="0" fillId="2" borderId="18" xfId="0" applyNumberFormat="1" applyFill="1" applyBorder="1"/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14" fontId="0" fillId="2" borderId="19" xfId="0" applyNumberFormat="1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/>
    <xf numFmtId="0" fontId="0" fillId="0" borderId="4" xfId="0" applyBorder="1"/>
    <xf numFmtId="0" fontId="0" fillId="0" borderId="24" xfId="0" applyBorder="1"/>
    <xf numFmtId="0" fontId="0" fillId="0" borderId="2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9" xfId="0" applyFill="1" applyBorder="1"/>
    <xf numFmtId="0" fontId="0" fillId="0" borderId="19" xfId="0" applyBorder="1"/>
    <xf numFmtId="0" fontId="0" fillId="0" borderId="16" xfId="0" applyBorder="1"/>
    <xf numFmtId="0" fontId="0" fillId="0" borderId="1" xfId="0" applyBorder="1" applyAlignment="1">
      <alignment horizontal="left"/>
    </xf>
    <xf numFmtId="0" fontId="0" fillId="2" borderId="25" xfId="0" applyFill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3" fillId="0" borderId="0" xfId="0" applyFont="1"/>
    <xf numFmtId="0" fontId="0" fillId="2" borderId="24" xfId="0" applyFill="1" applyBorder="1"/>
    <xf numFmtId="0" fontId="0" fillId="2" borderId="9" xfId="0" applyFill="1" applyBorder="1"/>
    <xf numFmtId="0" fontId="0" fillId="2" borderId="13" xfId="0" applyFill="1" applyBorder="1"/>
    <xf numFmtId="0" fontId="0" fillId="0" borderId="0" xfId="0" applyProtection="1">
      <protection locked="0"/>
    </xf>
    <xf numFmtId="0" fontId="0" fillId="2" borderId="22" xfId="0" applyFill="1" applyBorder="1" applyAlignment="1" applyProtection="1">
      <alignment horizontal="center"/>
    </xf>
    <xf numFmtId="0" fontId="0" fillId="2" borderId="23" xfId="0" applyFill="1" applyBorder="1" applyAlignment="1" applyProtection="1">
      <alignment horizontal="center"/>
    </xf>
    <xf numFmtId="0" fontId="0" fillId="2" borderId="25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Fill="1" applyBorder="1"/>
    <xf numFmtId="0" fontId="5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left" vertical="top" wrapText="1"/>
    </xf>
    <xf numFmtId="0" fontId="4" fillId="2" borderId="46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 wrapText="1"/>
    </xf>
    <xf numFmtId="0" fontId="4" fillId="0" borderId="37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39" xfId="0" applyFont="1" applyFill="1" applyBorder="1" applyAlignment="1">
      <alignment horizontal="left" vertical="top" wrapText="1"/>
    </xf>
    <xf numFmtId="0" fontId="4" fillId="4" borderId="48" xfId="0" applyFont="1" applyFill="1" applyBorder="1" applyAlignment="1">
      <alignment horizontal="left" vertical="top" wrapText="1"/>
    </xf>
    <xf numFmtId="0" fontId="4" fillId="4" borderId="49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/>
    </xf>
    <xf numFmtId="0" fontId="4" fillId="0" borderId="47" xfId="0" applyFont="1" applyFill="1" applyBorder="1" applyAlignment="1">
      <alignment horizontal="right" vertical="top" wrapText="1"/>
    </xf>
    <xf numFmtId="0" fontId="4" fillId="0" borderId="42" xfId="0" applyFont="1" applyFill="1" applyBorder="1" applyAlignment="1">
      <alignment horizontal="right" vertical="top" wrapText="1"/>
    </xf>
    <xf numFmtId="0" fontId="4" fillId="0" borderId="44" xfId="0" applyFont="1" applyFill="1" applyBorder="1" applyAlignment="1">
      <alignment horizontal="right" vertical="top"/>
    </xf>
    <xf numFmtId="0" fontId="1" fillId="0" borderId="33" xfId="0" applyFont="1" applyBorder="1"/>
    <xf numFmtId="0" fontId="1" fillId="0" borderId="32" xfId="0" applyFont="1" applyBorder="1"/>
    <xf numFmtId="0" fontId="4" fillId="0" borderId="26" xfId="0" applyFont="1" applyFill="1" applyBorder="1" applyAlignment="1">
      <alignment horizontal="center" vertical="top" wrapText="1"/>
    </xf>
    <xf numFmtId="0" fontId="4" fillId="0" borderId="43" xfId="0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26" xfId="0" applyNumberFormat="1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left" vertical="top" wrapText="1"/>
    </xf>
    <xf numFmtId="0" fontId="6" fillId="2" borderId="28" xfId="0" applyFont="1" applyFill="1" applyBorder="1" applyAlignment="1">
      <alignment horizontal="left" vertical="top" wrapText="1"/>
    </xf>
    <xf numFmtId="0" fontId="6" fillId="2" borderId="29" xfId="0" applyFont="1" applyFill="1" applyBorder="1" applyAlignment="1">
      <alignment horizontal="left" vertical="top" wrapText="1"/>
    </xf>
    <xf numFmtId="0" fontId="6" fillId="2" borderId="30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left" vertical="top" wrapText="1"/>
    </xf>
    <xf numFmtId="0" fontId="4" fillId="4" borderId="38" xfId="0" applyFont="1" applyFill="1" applyBorder="1" applyAlignment="1">
      <alignment horizontal="left" vertical="top" wrapText="1"/>
    </xf>
    <xf numFmtId="1" fontId="6" fillId="3" borderId="8" xfId="0" applyNumberFormat="1" applyFont="1" applyFill="1" applyBorder="1" applyAlignment="1">
      <alignment horizontal="center" vertical="top" wrapText="1"/>
    </xf>
    <xf numFmtId="0" fontId="4" fillId="3" borderId="40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horizontal="left" vertical="top" wrapText="1"/>
    </xf>
    <xf numFmtId="0" fontId="4" fillId="3" borderId="50" xfId="0" applyFont="1" applyFill="1" applyBorder="1" applyAlignment="1">
      <alignment horizontal="left" vertical="top" wrapText="1"/>
    </xf>
    <xf numFmtId="0" fontId="4" fillId="3" borderId="51" xfId="0" applyFont="1" applyFill="1" applyBorder="1" applyAlignment="1">
      <alignment horizontal="left" vertical="top" wrapText="1"/>
    </xf>
    <xf numFmtId="0" fontId="4" fillId="3" borderId="52" xfId="0" applyFont="1" applyFill="1" applyBorder="1" applyAlignment="1">
      <alignment horizontal="left" vertical="top" wrapText="1"/>
    </xf>
    <xf numFmtId="0" fontId="6" fillId="2" borderId="53" xfId="0" applyFont="1" applyFill="1" applyBorder="1" applyAlignment="1">
      <alignment horizontal="left" vertical="top" wrapText="1"/>
    </xf>
    <xf numFmtId="2" fontId="6" fillId="3" borderId="54" xfId="0" applyNumberFormat="1" applyFont="1" applyFill="1" applyBorder="1" applyAlignment="1">
      <alignment horizontal="center" vertical="top" wrapText="1"/>
    </xf>
    <xf numFmtId="0" fontId="6" fillId="2" borderId="55" xfId="0" applyFont="1" applyFill="1" applyBorder="1" applyAlignment="1">
      <alignment horizontal="left" vertical="top" wrapText="1"/>
    </xf>
    <xf numFmtId="0" fontId="6" fillId="2" borderId="56" xfId="0" applyFont="1" applyFill="1" applyBorder="1" applyAlignment="1">
      <alignment horizontal="left" vertical="top" wrapText="1"/>
    </xf>
    <xf numFmtId="0" fontId="6" fillId="2" borderId="57" xfId="0" applyFont="1" applyFill="1" applyBorder="1" applyAlignment="1">
      <alignment horizontal="left" vertical="top" wrapText="1"/>
    </xf>
    <xf numFmtId="0" fontId="6" fillId="2" borderId="58" xfId="0" applyFont="1" applyFill="1" applyBorder="1" applyAlignment="1">
      <alignment horizontal="left" vertical="top" wrapText="1"/>
    </xf>
    <xf numFmtId="1" fontId="6" fillId="3" borderId="59" xfId="0" applyNumberFormat="1" applyFont="1" applyFill="1" applyBorder="1" applyAlignment="1">
      <alignment horizontal="center" vertical="top" wrapText="1"/>
    </xf>
    <xf numFmtId="2" fontId="6" fillId="3" borderId="60" xfId="0" applyNumberFormat="1" applyFont="1" applyFill="1" applyBorder="1" applyAlignment="1">
      <alignment horizontal="center" vertical="top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0" fillId="0" borderId="0" xfId="0" applyFill="1"/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2" borderId="1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14" fontId="0" fillId="2" borderId="2" xfId="0" applyNumberFormat="1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19" xfId="0" applyFill="1" applyBorder="1"/>
    <xf numFmtId="0" fontId="0" fillId="0" borderId="14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5"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3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pageSetUpPr fitToPage="1"/>
  </sheetPr>
  <dimension ref="A1:O102"/>
  <sheetViews>
    <sheetView zoomScale="85" zoomScaleNormal="85" zoomScaleSheetLayoutView="85" zoomScalePageLayoutView="85" workbookViewId="0">
      <selection activeCell="G27" sqref="G27"/>
    </sheetView>
  </sheetViews>
  <sheetFormatPr baseColWidth="10" defaultColWidth="8.83203125" defaultRowHeight="14" x14ac:dyDescent="0"/>
  <cols>
    <col min="1" max="1" width="7.6640625" customWidth="1"/>
    <col min="2" max="2" width="19" customWidth="1"/>
    <col min="3" max="3" width="11.33203125" customWidth="1"/>
    <col min="4" max="4" width="28.83203125" customWidth="1"/>
    <col min="5" max="5" width="14.6640625" customWidth="1"/>
    <col min="6" max="6" width="14.33203125" customWidth="1"/>
    <col min="7" max="7" width="13.6640625" customWidth="1"/>
    <col min="8" max="8" width="12" customWidth="1"/>
    <col min="9" max="9" width="13.33203125" customWidth="1"/>
    <col min="10" max="10" width="10.83203125" customWidth="1"/>
    <col min="11" max="11" width="9.33203125" customWidth="1"/>
    <col min="12" max="12" width="9" customWidth="1"/>
    <col min="13" max="16" width="9.33203125" customWidth="1"/>
    <col min="19" max="19" width="11.5" customWidth="1"/>
    <col min="20" max="24" width="11.6640625" customWidth="1"/>
  </cols>
  <sheetData>
    <row r="1" spans="1:15" ht="15" customHeight="1">
      <c r="A1" s="1" t="s">
        <v>0</v>
      </c>
      <c r="E1" s="1" t="s">
        <v>1</v>
      </c>
      <c r="I1" t="s">
        <v>2</v>
      </c>
    </row>
    <row r="2" spans="1:15" ht="15" customHeight="1">
      <c r="B2" s="3" t="s">
        <v>3</v>
      </c>
      <c r="C2" s="158" t="s">
        <v>172</v>
      </c>
      <c r="D2" s="158"/>
      <c r="E2" s="148" t="s">
        <v>4</v>
      </c>
      <c r="F2" s="148"/>
      <c r="G2" s="148"/>
      <c r="H2" s="148"/>
    </row>
    <row r="3" spans="1:15" ht="15" customHeight="1">
      <c r="B3" s="3" t="s">
        <v>5</v>
      </c>
      <c r="C3" s="158" t="s">
        <v>172</v>
      </c>
      <c r="D3" s="158"/>
      <c r="E3" s="148"/>
      <c r="F3" s="148"/>
      <c r="G3" s="148"/>
      <c r="H3" s="148"/>
      <c r="I3" t="s">
        <v>6</v>
      </c>
    </row>
    <row r="4" spans="1:15" ht="15" customHeight="1">
      <c r="B4" s="3" t="s">
        <v>7</v>
      </c>
      <c r="C4" s="158" t="s">
        <v>172</v>
      </c>
      <c r="D4" s="158"/>
      <c r="E4" s="148"/>
      <c r="F4" s="148"/>
      <c r="G4" s="148"/>
      <c r="H4" s="148"/>
      <c r="I4" t="s">
        <v>8</v>
      </c>
    </row>
    <row r="5" spans="1:15" ht="15" customHeight="1">
      <c r="B5" s="3" t="s">
        <v>9</v>
      </c>
      <c r="C5" s="159">
        <v>42282</v>
      </c>
      <c r="D5" s="159"/>
      <c r="E5" s="148"/>
      <c r="F5" s="148"/>
      <c r="G5" s="148"/>
      <c r="H5" s="148"/>
      <c r="I5" t="s">
        <v>10</v>
      </c>
    </row>
    <row r="6" spans="1:15" ht="15.75" customHeight="1" thickBot="1">
      <c r="A6" s="11"/>
      <c r="B6" s="12" t="s">
        <v>11</v>
      </c>
      <c r="C6" s="158" t="s">
        <v>156</v>
      </c>
      <c r="D6" s="158"/>
      <c r="E6" s="149"/>
      <c r="F6" s="149"/>
      <c r="G6" s="149"/>
      <c r="H6" s="149"/>
      <c r="I6" s="11" t="s">
        <v>12</v>
      </c>
      <c r="J6" s="150" t="s">
        <v>13</v>
      </c>
      <c r="K6" s="150"/>
      <c r="L6" s="150"/>
      <c r="M6" s="150"/>
      <c r="N6" s="150"/>
      <c r="O6" s="150"/>
    </row>
    <row r="7" spans="1:15" ht="34.5" customHeight="1" thickTop="1">
      <c r="E7" s="13"/>
      <c r="F7" s="13"/>
      <c r="J7" s="151" t="s">
        <v>14</v>
      </c>
      <c r="K7" s="152"/>
      <c r="L7" s="153" t="s">
        <v>15</v>
      </c>
      <c r="M7" s="154"/>
      <c r="N7" s="154" t="s">
        <v>16</v>
      </c>
      <c r="O7" s="155"/>
    </row>
    <row r="8" spans="1:15" ht="34.5" customHeight="1">
      <c r="E8" s="156" t="s">
        <v>167</v>
      </c>
      <c r="F8" s="157"/>
      <c r="G8" s="14" t="s">
        <v>17</v>
      </c>
      <c r="I8" s="15" t="s">
        <v>18</v>
      </c>
      <c r="J8" s="146" t="s">
        <v>19</v>
      </c>
      <c r="K8" s="147"/>
      <c r="L8" s="17"/>
      <c r="M8" s="10"/>
      <c r="N8" s="10"/>
      <c r="O8" s="18"/>
    </row>
    <row r="9" spans="1:15" ht="60" customHeight="1">
      <c r="A9" s="19" t="s">
        <v>20</v>
      </c>
      <c r="B9" s="20" t="s">
        <v>21</v>
      </c>
      <c r="C9" s="20" t="s">
        <v>165</v>
      </c>
      <c r="D9" s="20" t="s">
        <v>22</v>
      </c>
      <c r="E9" s="22" t="s">
        <v>23</v>
      </c>
      <c r="F9" s="22" t="s">
        <v>24</v>
      </c>
      <c r="G9" s="23" t="s">
        <v>25</v>
      </c>
      <c r="H9" s="19" t="s">
        <v>211</v>
      </c>
      <c r="I9" s="24" t="s">
        <v>174</v>
      </c>
      <c r="J9" s="25" t="s">
        <v>26</v>
      </c>
      <c r="K9" s="26" t="s">
        <v>27</v>
      </c>
      <c r="L9" s="25" t="s">
        <v>26</v>
      </c>
      <c r="M9" s="26" t="s">
        <v>27</v>
      </c>
      <c r="N9" s="25" t="s">
        <v>26</v>
      </c>
      <c r="O9" s="26" t="s">
        <v>27</v>
      </c>
    </row>
    <row r="10" spans="1:15" ht="15" customHeight="1">
      <c r="A10" s="7" t="s">
        <v>39</v>
      </c>
      <c r="B10" s="138" t="s">
        <v>218</v>
      </c>
      <c r="C10" s="76"/>
      <c r="D10" s="144" t="s">
        <v>235</v>
      </c>
      <c r="E10" s="80" t="str">
        <f>IF(LEN($E$8)=0,"",HLOOKUP($E$8, Indices!$E$1:$T$18, ROW(E10)-ROW($E$8)+1, FALSE))</f>
        <v>N701</v>
      </c>
      <c r="F10" s="36" t="str">
        <f>IF(LEN($E$8)=0, "", INDEX(Indices!$E$1:$U$18, ROW($F10)-ROW($E$8)+1,MATCH($E$8, Indices!$E$1:$T$1,0) + 1))</f>
        <v>S517</v>
      </c>
      <c r="G10">
        <v>1.88</v>
      </c>
      <c r="H10" s="87">
        <v>5.5</v>
      </c>
      <c r="I10" s="37">
        <v>10</v>
      </c>
      <c r="J10" s="63">
        <f t="shared" ref="J10:J25" si="0">(10*20)/I10</f>
        <v>20</v>
      </c>
      <c r="K10" s="73">
        <f t="shared" ref="K10:K25" si="1">20-J10</f>
        <v>0</v>
      </c>
      <c r="L10" s="31">
        <v>2</v>
      </c>
      <c r="M10" s="39">
        <v>18</v>
      </c>
      <c r="N10" s="31">
        <v>2</v>
      </c>
      <c r="O10" s="39">
        <v>8</v>
      </c>
    </row>
    <row r="11" spans="1:15" ht="15" customHeight="1">
      <c r="A11" s="7" t="s">
        <v>40</v>
      </c>
      <c r="B11" s="139" t="s">
        <v>219</v>
      </c>
      <c r="C11" s="77"/>
      <c r="D11" s="144" t="s">
        <v>236</v>
      </c>
      <c r="E11" s="80" t="str">
        <f>IF(LEN($E$8)=0,"",HLOOKUP($E$8, Indices!$E$1:$T$18, ROW(E11)-ROW($E$8)+1, FALSE))</f>
        <v>N702</v>
      </c>
      <c r="F11" s="40" t="str">
        <f>IF(LEN($E$8)=0, "", INDEX(Indices!$E$1:$U$18, ROW($F11)-ROW($E$8)+1,MATCH($E$8, Indices!$E$1:$T$1,0) + 1))</f>
        <v>S517</v>
      </c>
      <c r="G11">
        <v>1.85</v>
      </c>
      <c r="H11" s="87">
        <v>5.5</v>
      </c>
      <c r="I11" s="37">
        <v>10</v>
      </c>
      <c r="J11" s="65">
        <f t="shared" si="0"/>
        <v>20</v>
      </c>
      <c r="K11" s="74">
        <f t="shared" si="1"/>
        <v>0</v>
      </c>
      <c r="L11" s="14">
        <v>2</v>
      </c>
      <c r="M11" s="15">
        <v>18</v>
      </c>
      <c r="N11" s="14">
        <v>2</v>
      </c>
      <c r="O11" s="15">
        <v>8</v>
      </c>
    </row>
    <row r="12" spans="1:15" ht="15" customHeight="1">
      <c r="A12" s="7" t="s">
        <v>41</v>
      </c>
      <c r="B12" s="140" t="s">
        <v>220</v>
      </c>
      <c r="C12" s="77"/>
      <c r="D12" s="144" t="s">
        <v>237</v>
      </c>
      <c r="E12" s="80" t="str">
        <f>IF(LEN($E$8)=0,"",HLOOKUP($E$8, Indices!$E$1:$T$18, ROW(E12)-ROW($E$8)+1, FALSE))</f>
        <v>N703</v>
      </c>
      <c r="F12" s="40" t="str">
        <f>IF(LEN($E$8)=0, "", INDEX(Indices!$E$1:$U$18, ROW($F12)-ROW($E$8)+1,MATCH($E$8, Indices!$E$1:$T$1,0) + 1))</f>
        <v>S517</v>
      </c>
      <c r="G12" s="145">
        <v>1.93</v>
      </c>
      <c r="H12" s="87">
        <v>5.4</v>
      </c>
      <c r="I12" s="37">
        <v>10</v>
      </c>
      <c r="J12" s="65">
        <f t="shared" si="0"/>
        <v>20</v>
      </c>
      <c r="K12" s="74">
        <f t="shared" si="1"/>
        <v>0</v>
      </c>
      <c r="L12" s="14">
        <v>2</v>
      </c>
      <c r="M12" s="15">
        <v>18</v>
      </c>
      <c r="N12" s="14">
        <v>2</v>
      </c>
      <c r="O12" s="15">
        <v>8</v>
      </c>
    </row>
    <row r="13" spans="1:15" ht="15" customHeight="1">
      <c r="A13" s="44" t="s">
        <v>42</v>
      </c>
      <c r="B13" s="141" t="s">
        <v>221</v>
      </c>
      <c r="C13" s="78"/>
      <c r="D13" s="144" t="s">
        <v>238</v>
      </c>
      <c r="E13" s="81" t="str">
        <f>IF(LEN($E$8)=0,"",HLOOKUP($E$8, Indices!$E$1:$T$18, ROW(E13)-ROW($E$8)+1, FALSE))</f>
        <v>N704</v>
      </c>
      <c r="F13" s="45" t="str">
        <f>IF(LEN($E$8)=0, "", INDEX(Indices!$E$1:$U$18, ROW($F13)-ROW($E$8)+1,MATCH($E$8, Indices!$E$1:$T$1,0) + 1))</f>
        <v>S517</v>
      </c>
      <c r="G13" s="145">
        <v>1.9</v>
      </c>
      <c r="H13" s="87">
        <v>5.4</v>
      </c>
      <c r="I13" s="37">
        <v>10</v>
      </c>
      <c r="J13" s="66">
        <f t="shared" si="0"/>
        <v>20</v>
      </c>
      <c r="K13" s="67">
        <f t="shared" si="1"/>
        <v>0</v>
      </c>
      <c r="L13" s="21">
        <v>2</v>
      </c>
      <c r="M13" s="49">
        <v>18</v>
      </c>
      <c r="N13" s="21">
        <v>2</v>
      </c>
      <c r="O13" s="49">
        <v>8</v>
      </c>
    </row>
    <row r="14" spans="1:15" ht="15" customHeight="1">
      <c r="A14" s="7" t="s">
        <v>43</v>
      </c>
      <c r="B14" s="139" t="s">
        <v>222</v>
      </c>
      <c r="C14" s="77"/>
      <c r="D14" s="144" t="s">
        <v>239</v>
      </c>
      <c r="E14" s="82" t="str">
        <f>IF(LEN($E$8)=0,"",HLOOKUP($E$8, Indices!$E$1:$T$18, ROW(E14)-ROW($E$8)+1, FALSE))</f>
        <v>N705</v>
      </c>
      <c r="F14" s="62" t="str">
        <f>IF(LEN($E$8)=0, "", INDEX(Indices!$E$1:$U$18, ROW($F14)-ROW($E$8)+1,MATCH($E$8, Indices!$E$1:$T$1,0) + 1))</f>
        <v>S517</v>
      </c>
      <c r="G14" s="145">
        <v>1.85</v>
      </c>
      <c r="H14" s="87">
        <v>5.5</v>
      </c>
      <c r="I14" s="37">
        <v>10</v>
      </c>
      <c r="J14" s="63">
        <f t="shared" si="0"/>
        <v>20</v>
      </c>
      <c r="K14" s="73">
        <f t="shared" si="1"/>
        <v>0</v>
      </c>
      <c r="L14" s="31">
        <v>2</v>
      </c>
      <c r="M14" s="39">
        <v>18</v>
      </c>
      <c r="N14" s="31">
        <v>2</v>
      </c>
      <c r="O14" s="39">
        <v>8</v>
      </c>
    </row>
    <row r="15" spans="1:15" ht="15" customHeight="1">
      <c r="A15" s="7" t="s">
        <v>44</v>
      </c>
      <c r="B15" s="142" t="s">
        <v>223</v>
      </c>
      <c r="C15" s="77"/>
      <c r="D15" s="144" t="s">
        <v>234</v>
      </c>
      <c r="E15" s="80" t="str">
        <f>IF(LEN($E$8)=0,"",HLOOKUP($E$8, Indices!$E$1:$T$18, ROW(E15)-ROW($E$8)+1, FALSE))</f>
        <v>N706</v>
      </c>
      <c r="F15" s="40" t="str">
        <f>IF(LEN($E$8)=0, "", INDEX(Indices!$E$1:$U$18, ROW($F15)-ROW($E$8)+1,MATCH($E$8, Indices!$E$1:$T$1,0) + 1))</f>
        <v>S517</v>
      </c>
      <c r="G15" s="145">
        <v>1.87</v>
      </c>
      <c r="H15" s="87">
        <v>5.4</v>
      </c>
      <c r="I15" s="37">
        <v>10</v>
      </c>
      <c r="J15" s="65">
        <f t="shared" si="0"/>
        <v>20</v>
      </c>
      <c r="K15" s="74">
        <f t="shared" si="1"/>
        <v>0</v>
      </c>
      <c r="L15" s="14">
        <v>2</v>
      </c>
      <c r="M15" s="15">
        <v>18</v>
      </c>
      <c r="N15" s="14">
        <v>2</v>
      </c>
      <c r="O15" s="15">
        <v>8</v>
      </c>
    </row>
    <row r="16" spans="1:15" ht="15" customHeight="1">
      <c r="A16" s="7" t="s">
        <v>45</v>
      </c>
      <c r="B16" s="143" t="s">
        <v>224</v>
      </c>
      <c r="C16" s="77"/>
      <c r="D16" s="144" t="s">
        <v>240</v>
      </c>
      <c r="E16" s="80" t="str">
        <f>IF(LEN($E$8)=0,"",HLOOKUP($E$8, Indices!$E$1:$T$18, ROW(E16)-ROW($E$8)+1, FALSE))</f>
        <v>N707</v>
      </c>
      <c r="F16" s="40" t="str">
        <f>IF(LEN($E$8)=0, "", INDEX(Indices!$E$1:$U$18, ROW($F16)-ROW($E$8)+1,MATCH($E$8, Indices!$E$1:$T$1,0) + 1))</f>
        <v>S517</v>
      </c>
      <c r="G16" s="145">
        <v>1.87</v>
      </c>
      <c r="H16" s="87">
        <v>5.4</v>
      </c>
      <c r="I16" s="37">
        <v>10</v>
      </c>
      <c r="J16" s="65">
        <f t="shared" si="0"/>
        <v>20</v>
      </c>
      <c r="K16" s="74">
        <f t="shared" si="1"/>
        <v>0</v>
      </c>
      <c r="L16" s="14">
        <v>2</v>
      </c>
      <c r="M16" s="15">
        <v>18</v>
      </c>
      <c r="N16" s="14">
        <v>2</v>
      </c>
      <c r="O16" s="15">
        <v>8</v>
      </c>
    </row>
    <row r="17" spans="1:15" ht="15" customHeight="1">
      <c r="A17" s="44" t="s">
        <v>46</v>
      </c>
      <c r="B17" s="142" t="s">
        <v>225</v>
      </c>
      <c r="C17" s="78"/>
      <c r="D17" s="144" t="s">
        <v>241</v>
      </c>
      <c r="E17" s="81" t="str">
        <f>IF(LEN($E$8)=0,"",HLOOKUP($E$8, Indices!$E$1:$T$18, ROW(E17)-ROW($E$8)+1, FALSE))</f>
        <v>N708</v>
      </c>
      <c r="F17" s="45" t="str">
        <f>IF(LEN($E$8)=0, "", INDEX(Indices!$E$1:$U$18, ROW($F17)-ROW($E$8)+1,MATCH($E$8, Indices!$E$1:$T$1,0) + 1))</f>
        <v>S517</v>
      </c>
      <c r="G17" s="145">
        <v>1.9</v>
      </c>
      <c r="H17" s="87">
        <v>5.4</v>
      </c>
      <c r="I17" s="37">
        <v>10</v>
      </c>
      <c r="J17" s="66">
        <f t="shared" si="0"/>
        <v>20</v>
      </c>
      <c r="K17" s="67">
        <f t="shared" si="1"/>
        <v>0</v>
      </c>
      <c r="L17" s="21">
        <v>2</v>
      </c>
      <c r="M17" s="49">
        <v>18</v>
      </c>
      <c r="N17" s="21">
        <v>2</v>
      </c>
      <c r="O17" s="49">
        <v>8</v>
      </c>
    </row>
    <row r="18" spans="1:15" ht="15" customHeight="1">
      <c r="A18" s="7" t="s">
        <v>47</v>
      </c>
      <c r="B18" s="142" t="s">
        <v>226</v>
      </c>
      <c r="C18" s="77"/>
      <c r="D18" s="144" t="s">
        <v>242</v>
      </c>
      <c r="E18" s="82" t="str">
        <f>IF(LEN($E$8)=0,"",HLOOKUP($E$8, Indices!$E$1:$T$18, ROW(E18)-ROW($E$8)+1, FALSE))</f>
        <v>N701</v>
      </c>
      <c r="F18" s="62" t="str">
        <f>IF(LEN($E$8)=0, "", INDEX(Indices!$E$1:$U$18, ROW($F18)-ROW($E$8)+1,MATCH($E$8, Indices!$E$1:$T$1,0) + 1))</f>
        <v>S502</v>
      </c>
      <c r="G18" s="145">
        <v>1.92</v>
      </c>
      <c r="H18" s="87">
        <v>5.4</v>
      </c>
      <c r="I18" s="37">
        <v>10</v>
      </c>
      <c r="J18" s="63">
        <f t="shared" si="0"/>
        <v>20</v>
      </c>
      <c r="K18" s="73">
        <f t="shared" si="1"/>
        <v>0</v>
      </c>
      <c r="L18" s="31">
        <v>2</v>
      </c>
      <c r="M18" s="39">
        <v>18</v>
      </c>
      <c r="N18" s="31">
        <v>2</v>
      </c>
      <c r="O18" s="39">
        <v>8</v>
      </c>
    </row>
    <row r="19" spans="1:15" ht="15" customHeight="1">
      <c r="A19" s="7" t="s">
        <v>48</v>
      </c>
      <c r="B19" s="87" t="s">
        <v>227</v>
      </c>
      <c r="C19" s="77"/>
      <c r="D19" s="144" t="s">
        <v>242</v>
      </c>
      <c r="E19" s="80" t="str">
        <f>IF(LEN($E$8)=0,"",HLOOKUP($E$8, Indices!$E$1:$T$18, ROW(E19)-ROW($E$8)+1, FALSE))</f>
        <v>N702</v>
      </c>
      <c r="F19" s="40" t="str">
        <f>IF(LEN($E$8)=0, "", INDEX(Indices!$E$1:$U$18, ROW($F19)-ROW($E$8)+1,MATCH($E$8, Indices!$E$1:$T$1,0) + 1))</f>
        <v>S502</v>
      </c>
      <c r="G19" s="145">
        <v>1.93</v>
      </c>
      <c r="H19" s="87">
        <v>5.4</v>
      </c>
      <c r="I19" s="37">
        <v>10</v>
      </c>
      <c r="J19" s="65">
        <f t="shared" si="0"/>
        <v>20</v>
      </c>
      <c r="K19" s="74">
        <f t="shared" si="1"/>
        <v>0</v>
      </c>
      <c r="L19" s="14">
        <v>2</v>
      </c>
      <c r="M19" s="15">
        <v>18</v>
      </c>
      <c r="N19" s="14">
        <v>2</v>
      </c>
      <c r="O19" s="15">
        <v>8</v>
      </c>
    </row>
    <row r="20" spans="1:15" ht="15" customHeight="1">
      <c r="A20" s="7" t="s">
        <v>49</v>
      </c>
      <c r="B20" s="142" t="s">
        <v>228</v>
      </c>
      <c r="C20" s="77"/>
      <c r="D20" s="144" t="s">
        <v>243</v>
      </c>
      <c r="E20" s="80" t="str">
        <f>IF(LEN($E$8)=0,"",HLOOKUP($E$8, Indices!$E$1:$T$18, ROW(E20)-ROW($E$8)+1, FALSE))</f>
        <v>N703</v>
      </c>
      <c r="F20" s="40" t="str">
        <f>IF(LEN($E$8)=0, "", INDEX(Indices!$E$1:$U$18, ROW($F20)-ROW($E$8)+1,MATCH($E$8, Indices!$E$1:$T$1,0) + 1))</f>
        <v>S502</v>
      </c>
      <c r="G20" s="145">
        <v>1.94</v>
      </c>
      <c r="H20" s="87">
        <v>5.4</v>
      </c>
      <c r="I20" s="37">
        <v>10</v>
      </c>
      <c r="J20" s="65">
        <f t="shared" si="0"/>
        <v>20</v>
      </c>
      <c r="K20" s="74">
        <f t="shared" si="1"/>
        <v>0</v>
      </c>
      <c r="L20" s="14">
        <v>2</v>
      </c>
      <c r="M20" s="15">
        <v>18</v>
      </c>
      <c r="N20" s="14">
        <v>2</v>
      </c>
      <c r="O20" s="15">
        <v>8</v>
      </c>
    </row>
    <row r="21" spans="1:15" ht="15" customHeight="1">
      <c r="A21" s="44" t="s">
        <v>50</v>
      </c>
      <c r="B21" s="87" t="s">
        <v>229</v>
      </c>
      <c r="C21" s="78"/>
      <c r="D21" s="144" t="s">
        <v>244</v>
      </c>
      <c r="E21" s="81" t="str">
        <f>IF(LEN($E$8)=0,"",HLOOKUP($E$8, Indices!$E$1:$T$18, ROW(E21)-ROW($E$8)+1, FALSE))</f>
        <v>N704</v>
      </c>
      <c r="F21" s="45" t="str">
        <f>IF(LEN($E$8)=0, "", INDEX(Indices!$E$1:$U$18, ROW($F21)-ROW($E$8)+1,MATCH($E$8, Indices!$E$1:$T$1,0) + 1))</f>
        <v>S502</v>
      </c>
      <c r="G21" s="145">
        <v>1.84</v>
      </c>
      <c r="H21" s="87">
        <v>5.4</v>
      </c>
      <c r="I21" s="37">
        <v>10</v>
      </c>
      <c r="J21" s="66">
        <f t="shared" si="0"/>
        <v>20</v>
      </c>
      <c r="K21" s="67">
        <f t="shared" si="1"/>
        <v>0</v>
      </c>
      <c r="L21" s="21">
        <v>2</v>
      </c>
      <c r="M21" s="49">
        <v>18</v>
      </c>
      <c r="N21" s="21">
        <v>2</v>
      </c>
      <c r="O21" s="49">
        <v>8</v>
      </c>
    </row>
    <row r="22" spans="1:15" ht="15" customHeight="1">
      <c r="A22" s="7" t="s">
        <v>51</v>
      </c>
      <c r="B22" s="142" t="s">
        <v>230</v>
      </c>
      <c r="C22" s="77"/>
      <c r="D22" s="144" t="s">
        <v>245</v>
      </c>
      <c r="E22" s="82" t="str">
        <f>IF(LEN($E$8)=0,"",HLOOKUP($E$8, Indices!$E$1:$T$18, ROW(E22)-ROW($E$8)+1, FALSE))</f>
        <v>N705</v>
      </c>
      <c r="F22" s="62" t="str">
        <f>IF(LEN($E$8)=0, "", INDEX(Indices!$E$1:$U$18, ROW($F22)-ROW($E$8)+1,MATCH($E$8, Indices!$E$1:$T$1,0) + 1))</f>
        <v>S502</v>
      </c>
      <c r="G22" s="145">
        <v>1.85</v>
      </c>
      <c r="H22" s="87">
        <v>5.4</v>
      </c>
      <c r="I22" s="37">
        <v>10</v>
      </c>
      <c r="J22" s="63">
        <f t="shared" si="0"/>
        <v>20</v>
      </c>
      <c r="K22" s="73">
        <f t="shared" si="1"/>
        <v>0</v>
      </c>
      <c r="L22" s="31">
        <v>2</v>
      </c>
      <c r="M22" s="39">
        <v>18</v>
      </c>
      <c r="N22" s="31">
        <v>2</v>
      </c>
      <c r="O22" s="39">
        <v>8</v>
      </c>
    </row>
    <row r="23" spans="1:15" ht="15" customHeight="1">
      <c r="A23" s="7" t="s">
        <v>52</v>
      </c>
      <c r="B23" s="142" t="s">
        <v>231</v>
      </c>
      <c r="C23" s="77"/>
      <c r="D23" s="144" t="s">
        <v>246</v>
      </c>
      <c r="E23" s="80" t="str">
        <f>IF(LEN($E$8)=0,"",HLOOKUP($E$8, Indices!$E$1:$T$18, ROW(E23)-ROW($E$8)+1, FALSE))</f>
        <v>N706</v>
      </c>
      <c r="F23" s="40" t="str">
        <f>IF(LEN($E$8)=0, "", INDEX(Indices!$E$1:$U$18, ROW($F23)-ROW($E$8)+1,MATCH($E$8, Indices!$E$1:$T$1,0) + 1))</f>
        <v>S502</v>
      </c>
      <c r="G23" s="145">
        <v>1.86</v>
      </c>
      <c r="H23" s="87">
        <v>5.4</v>
      </c>
      <c r="I23" s="37">
        <v>10</v>
      </c>
      <c r="J23" s="65">
        <f t="shared" si="0"/>
        <v>20</v>
      </c>
      <c r="K23" s="74">
        <f t="shared" si="1"/>
        <v>0</v>
      </c>
      <c r="L23" s="14">
        <v>2</v>
      </c>
      <c r="M23" s="15">
        <v>18</v>
      </c>
      <c r="N23" s="14">
        <v>2</v>
      </c>
      <c r="O23" s="15">
        <v>8</v>
      </c>
    </row>
    <row r="24" spans="1:15" ht="15" customHeight="1">
      <c r="A24" s="7" t="s">
        <v>53</v>
      </c>
      <c r="B24" s="142" t="s">
        <v>232</v>
      </c>
      <c r="C24" s="77"/>
      <c r="D24" s="144" t="s">
        <v>234</v>
      </c>
      <c r="E24" s="80" t="str">
        <f>IF(LEN($E$8)=0,"",HLOOKUP($E$8, Indices!$E$1:$T$18, ROW(E24)-ROW($E$8)+1, FALSE))</f>
        <v>N707</v>
      </c>
      <c r="F24" s="40" t="str">
        <f>IF(LEN($E$8)=0, "", INDEX(Indices!$E$1:$U$18, ROW($F24)-ROW($E$8)+1,MATCH($E$8, Indices!$E$1:$T$1,0) + 1))</f>
        <v>S502</v>
      </c>
      <c r="G24" s="145">
        <v>1.91</v>
      </c>
      <c r="H24" s="87">
        <v>5.4</v>
      </c>
      <c r="I24" s="37">
        <v>10</v>
      </c>
      <c r="J24" s="65">
        <f t="shared" si="0"/>
        <v>20</v>
      </c>
      <c r="K24" s="74">
        <f t="shared" si="1"/>
        <v>0</v>
      </c>
      <c r="L24" s="14">
        <v>2</v>
      </c>
      <c r="M24" s="15">
        <v>18</v>
      </c>
      <c r="N24" s="14">
        <v>2</v>
      </c>
      <c r="O24" s="15">
        <v>8</v>
      </c>
    </row>
    <row r="25" spans="1:15" ht="15" customHeight="1">
      <c r="A25" s="44" t="s">
        <v>54</v>
      </c>
      <c r="B25" s="141" t="s">
        <v>233</v>
      </c>
      <c r="C25" s="78"/>
      <c r="D25" s="144" t="s">
        <v>247</v>
      </c>
      <c r="E25" s="81" t="str">
        <f>IF(LEN($E$8)=0,"",HLOOKUP($E$8, Indices!$E$1:$T$18, ROW(E25)-ROW($E$8)+1, FALSE))</f>
        <v>N708</v>
      </c>
      <c r="F25" s="45" t="str">
        <f>IF(LEN($E$8)=0, "", INDEX(Indices!$E$1:$U$18, ROW($F25)-ROW($E$8)+1,MATCH($E$8, Indices!$E$1:$T$1,0) + 1))</f>
        <v>S502</v>
      </c>
      <c r="G25" s="145">
        <v>1.81</v>
      </c>
      <c r="H25" s="87">
        <v>3</v>
      </c>
      <c r="I25" s="37">
        <v>10</v>
      </c>
      <c r="J25" s="66">
        <f t="shared" si="0"/>
        <v>20</v>
      </c>
      <c r="K25" s="67">
        <f t="shared" si="1"/>
        <v>0</v>
      </c>
      <c r="L25" s="21">
        <v>2</v>
      </c>
      <c r="M25" s="49">
        <v>18</v>
      </c>
      <c r="N25" s="21">
        <v>2</v>
      </c>
      <c r="O25" s="49">
        <v>8</v>
      </c>
    </row>
    <row r="26" spans="1:15" ht="15" customHeight="1">
      <c r="A26" s="133" t="s">
        <v>47</v>
      </c>
      <c r="B26" s="4"/>
      <c r="C26" s="77"/>
      <c r="D26" s="4"/>
      <c r="E26" s="82"/>
      <c r="F26" s="62"/>
      <c r="G26" s="33"/>
      <c r="H26" s="8"/>
      <c r="I26" s="37"/>
      <c r="J26" s="63" t="e">
        <f t="shared" ref="J26:J29" si="2">(10*20)/I26</f>
        <v>#DIV/0!</v>
      </c>
      <c r="K26" s="73" t="e">
        <f t="shared" ref="K26:K29" si="3">20-J26</f>
        <v>#DIV/0!</v>
      </c>
      <c r="L26" s="31">
        <v>2</v>
      </c>
      <c r="M26" s="39">
        <v>18</v>
      </c>
      <c r="N26" s="31">
        <v>2</v>
      </c>
      <c r="O26" s="39">
        <v>8</v>
      </c>
    </row>
    <row r="27" spans="1:15" ht="15" customHeight="1">
      <c r="A27" s="133" t="s">
        <v>48</v>
      </c>
      <c r="B27" s="4"/>
      <c r="C27" s="77"/>
      <c r="D27" s="4"/>
      <c r="E27" s="80"/>
      <c r="F27" s="40"/>
      <c r="G27" s="41"/>
      <c r="H27" s="8"/>
      <c r="I27" s="42"/>
      <c r="J27" s="65" t="e">
        <f t="shared" si="2"/>
        <v>#DIV/0!</v>
      </c>
      <c r="K27" s="74" t="e">
        <f t="shared" si="3"/>
        <v>#DIV/0!</v>
      </c>
      <c r="L27" s="135">
        <v>2</v>
      </c>
      <c r="M27" s="15">
        <v>18</v>
      </c>
      <c r="N27" s="135">
        <v>2</v>
      </c>
      <c r="O27" s="15">
        <v>8</v>
      </c>
    </row>
    <row r="28" spans="1:15" ht="15" customHeight="1">
      <c r="A28" s="133" t="s">
        <v>49</v>
      </c>
      <c r="B28" s="4"/>
      <c r="C28" s="77"/>
      <c r="D28" s="4"/>
      <c r="E28" s="80"/>
      <c r="F28" s="40"/>
      <c r="G28" s="41"/>
      <c r="H28" s="8"/>
      <c r="I28" s="42"/>
      <c r="J28" s="65" t="e">
        <f t="shared" si="2"/>
        <v>#DIV/0!</v>
      </c>
      <c r="K28" s="74" t="e">
        <f t="shared" si="3"/>
        <v>#DIV/0!</v>
      </c>
      <c r="L28" s="135">
        <v>2</v>
      </c>
      <c r="M28" s="15">
        <v>18</v>
      </c>
      <c r="N28" s="135">
        <v>2</v>
      </c>
      <c r="O28" s="15">
        <v>8</v>
      </c>
    </row>
    <row r="29" spans="1:15" ht="15" customHeight="1">
      <c r="A29" s="44" t="s">
        <v>50</v>
      </c>
      <c r="B29" s="9"/>
      <c r="C29" s="78"/>
      <c r="D29" s="9"/>
      <c r="E29" s="81"/>
      <c r="F29" s="45"/>
      <c r="G29" s="46"/>
      <c r="H29" s="134"/>
      <c r="I29" s="47"/>
      <c r="J29" s="66" t="e">
        <f t="shared" si="2"/>
        <v>#DIV/0!</v>
      </c>
      <c r="K29" s="67" t="e">
        <f t="shared" si="3"/>
        <v>#DIV/0!</v>
      </c>
      <c r="L29" s="21">
        <v>2</v>
      </c>
      <c r="M29" s="49">
        <v>18</v>
      </c>
      <c r="N29" s="21">
        <v>2</v>
      </c>
      <c r="O29" s="49">
        <v>8</v>
      </c>
    </row>
    <row r="30" spans="1:15" ht="15" customHeight="1"/>
    <row r="31" spans="1:15" ht="15" customHeight="1">
      <c r="A31" t="s">
        <v>175</v>
      </c>
    </row>
    <row r="32" spans="1:15" ht="15" customHeight="1"/>
    <row r="33" spans="1:8" ht="15" customHeight="1">
      <c r="A33" t="s">
        <v>28</v>
      </c>
    </row>
    <row r="34" spans="1:8" ht="15" customHeight="1" thickBot="1">
      <c r="A34" s="4"/>
      <c r="B34" s="4"/>
      <c r="C34" s="4"/>
      <c r="D34" s="4"/>
      <c r="E34" s="4"/>
      <c r="F34" s="27" t="s">
        <v>29</v>
      </c>
      <c r="G34" s="27" t="s">
        <v>30</v>
      </c>
      <c r="H34" s="27" t="s">
        <v>31</v>
      </c>
    </row>
    <row r="35" spans="1:8" ht="15" customHeight="1">
      <c r="A35" s="4"/>
      <c r="B35" s="4"/>
      <c r="C35" s="4"/>
      <c r="D35" s="4"/>
      <c r="E35" s="4"/>
      <c r="F35" s="28" t="s">
        <v>32</v>
      </c>
      <c r="G35" s="29"/>
      <c r="H35" s="30"/>
    </row>
    <row r="36" spans="1:8" ht="15" customHeight="1">
      <c r="A36" s="4"/>
      <c r="B36" s="4"/>
      <c r="C36" s="4"/>
      <c r="D36" s="4"/>
      <c r="E36" s="4"/>
      <c r="F36" s="32" t="s">
        <v>33</v>
      </c>
      <c r="G36" s="34"/>
      <c r="H36" s="35"/>
    </row>
    <row r="37" spans="1:8" ht="15" customHeight="1">
      <c r="A37" s="4"/>
      <c r="B37" s="4"/>
      <c r="C37" s="4"/>
      <c r="D37" s="4"/>
      <c r="E37" s="4"/>
      <c r="F37" s="32" t="s">
        <v>34</v>
      </c>
      <c r="G37" s="34"/>
      <c r="H37" s="35"/>
    </row>
    <row r="38" spans="1:8" ht="15" customHeight="1">
      <c r="A38" s="4"/>
      <c r="B38" s="4"/>
      <c r="C38" s="4"/>
      <c r="D38" s="4"/>
      <c r="E38" s="4"/>
      <c r="F38" s="32" t="s">
        <v>35</v>
      </c>
      <c r="G38" s="34"/>
      <c r="H38" s="35"/>
    </row>
    <row r="39" spans="1:8" ht="15" customHeight="1">
      <c r="A39" s="4"/>
      <c r="B39" s="4"/>
      <c r="C39" s="4"/>
      <c r="D39" s="4"/>
      <c r="E39" s="4"/>
      <c r="F39" s="32" t="s">
        <v>36</v>
      </c>
      <c r="G39" s="34"/>
      <c r="H39" s="35"/>
    </row>
    <row r="40" spans="1:8" ht="15" customHeight="1">
      <c r="A40" s="4"/>
      <c r="B40" s="4"/>
      <c r="C40" s="4"/>
      <c r="D40" s="4"/>
      <c r="E40" s="4"/>
      <c r="F40" s="72" t="s">
        <v>214</v>
      </c>
      <c r="G40" s="34"/>
      <c r="H40" s="35"/>
    </row>
    <row r="41" spans="1:8" ht="15" customHeight="1">
      <c r="A41" s="4"/>
      <c r="B41" s="4"/>
      <c r="C41" s="4"/>
      <c r="D41" s="4"/>
      <c r="E41" s="4"/>
      <c r="F41" s="32" t="s">
        <v>37</v>
      </c>
      <c r="G41" s="34"/>
      <c r="H41" s="35"/>
    </row>
    <row r="42" spans="1:8" ht="15" customHeight="1">
      <c r="A42" s="4"/>
      <c r="B42" s="4"/>
      <c r="C42" s="4"/>
      <c r="D42" s="4"/>
      <c r="E42" s="4"/>
      <c r="F42" s="32" t="s">
        <v>38</v>
      </c>
      <c r="G42" s="34"/>
      <c r="H42" s="35"/>
    </row>
    <row r="43" spans="1:8" ht="15" customHeight="1"/>
    <row r="44" spans="1:8" ht="15" customHeight="1"/>
    <row r="45" spans="1:8" ht="15" customHeight="1"/>
    <row r="46" spans="1:8" ht="15" customHeight="1"/>
    <row r="47" spans="1:8" ht="15" customHeight="1"/>
    <row r="48" spans="1: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spans="1:7" ht="15" customHeight="1"/>
    <row r="82" spans="1:7" ht="15" customHeight="1"/>
    <row r="83" spans="1:7" ht="15" customHeight="1"/>
    <row r="84" spans="1:7" ht="15" customHeight="1">
      <c r="A84" s="75"/>
      <c r="B84" s="75"/>
      <c r="C84" s="75"/>
      <c r="D84" s="75"/>
      <c r="E84" s="75"/>
      <c r="F84" s="75"/>
      <c r="G84" s="75"/>
    </row>
    <row r="85" spans="1:7" ht="15" customHeight="1"/>
    <row r="86" spans="1:7" ht="15" customHeight="1"/>
    <row r="87" spans="1:7" ht="15" customHeight="1"/>
    <row r="88" spans="1:7" ht="15" customHeight="1"/>
    <row r="89" spans="1:7" ht="15" customHeight="1"/>
    <row r="90" spans="1:7" ht="15" customHeight="1"/>
    <row r="91" spans="1:7" ht="15" customHeight="1"/>
    <row r="92" spans="1:7" ht="15" customHeight="1"/>
    <row r="93" spans="1:7" ht="15" customHeight="1"/>
    <row r="94" spans="1:7" ht="15" customHeight="1"/>
    <row r="95" spans="1:7" ht="15" customHeight="1"/>
    <row r="96" spans="1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dataConsolidate/>
  <mergeCells count="12">
    <mergeCell ref="C2:D2"/>
    <mergeCell ref="C3:D3"/>
    <mergeCell ref="C4:D4"/>
    <mergeCell ref="C5:D5"/>
    <mergeCell ref="C6:D6"/>
    <mergeCell ref="J8:K8"/>
    <mergeCell ref="E2:H6"/>
    <mergeCell ref="J6:O6"/>
    <mergeCell ref="J7:K7"/>
    <mergeCell ref="L7:M7"/>
    <mergeCell ref="N7:O7"/>
    <mergeCell ref="E8:F8"/>
  </mergeCells>
  <phoneticPr fontId="9" type="noConversion"/>
  <conditionalFormatting sqref="B10:C29">
    <cfRule type="expression" dxfId="4" priority="10" stopIfTrue="1">
      <formula>IF(COUNTIF($B:$B, $B10)&gt;1,TRUE,FALSE)</formula>
    </cfRule>
  </conditionalFormatting>
  <conditionalFormatting sqref="E10:E22 E26">
    <cfRule type="expression" dxfId="3" priority="86" stopIfTrue="1">
      <formula>IF(COUNTIFS($F:$F, E10,$G:$G, F13)&gt;1, TRUE, FALSE)</formula>
    </cfRule>
  </conditionalFormatting>
  <conditionalFormatting sqref="E23:E25 E27:E29">
    <cfRule type="expression" dxfId="2" priority="223" stopIfTrue="1">
      <formula>IF(COUNTIFS($F:$F, E23,$G:$G, G30)&gt;1, TRUE, FALSE)</formula>
    </cfRule>
  </conditionalFormatting>
  <conditionalFormatting sqref="E8 F10:F25">
    <cfRule type="expression" dxfId="1" priority="250" stopIfTrue="1">
      <formula>IF(COUNTIFS($F:$F, E1048566,$G:$G, E8)&gt;1, TRUE, FALSE)</formula>
    </cfRule>
  </conditionalFormatting>
  <conditionalFormatting sqref="F26:F29">
    <cfRule type="expression" dxfId="0" priority="266" stopIfTrue="1">
      <formula>IF(COUNTIFS($F:$F, F12,$G:$G, F26)&gt;1, TRUE, FALSE)</formula>
    </cfRule>
  </conditionalFormatting>
  <dataValidations count="3">
    <dataValidation type="list" allowBlank="1" showInputMessage="1" sqref="E10:E29">
      <formula1>"N701,N702,N703,N704,N705,N706,N707,N708,N709,N710,N711,N712"</formula1>
    </dataValidation>
    <dataValidation type="list" allowBlank="1" showInputMessage="1" sqref="F10:F29">
      <formula1>"S501,S502,S503,S504,S505,S506,S507,S508,S517"</formula1>
    </dataValidation>
    <dataValidation type="list" allowBlank="1" showInputMessage="1" sqref="E8:F8">
      <formula1>"RUN1,RUN2,RUN3,RUN4,RUN5,RUN6"</formula1>
    </dataValidation>
  </dataValidations>
  <pageMargins left="0.7" right="0.7" top="0.75" bottom="0.75" header="0.3" footer="0.3"/>
  <pageSetup scale="59" orientation="landscape"/>
  <headerFooter>
    <oddHeader>&amp;C&amp;"-,Bold"Nextera XT Library Workbook</oddHeader>
  </headerFooter>
  <rowBreaks count="1" manualBreakCount="1">
    <brk id="42" max="14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pageSetUpPr fitToPage="1"/>
  </sheetPr>
  <dimension ref="A1:L46"/>
  <sheetViews>
    <sheetView tabSelected="1" workbookViewId="0">
      <selection activeCell="J4" sqref="J4"/>
    </sheetView>
  </sheetViews>
  <sheetFormatPr baseColWidth="10" defaultColWidth="8.83203125" defaultRowHeight="14" x14ac:dyDescent="0"/>
  <cols>
    <col min="1" max="1" width="22.33203125" customWidth="1"/>
    <col min="2" max="2" width="15.83203125" customWidth="1"/>
    <col min="3" max="3" width="36" customWidth="1"/>
    <col min="4" max="4" width="11.6640625" customWidth="1"/>
    <col min="5" max="5" width="9.33203125" customWidth="1"/>
    <col min="6" max="6" width="12.1640625" customWidth="1"/>
    <col min="7" max="7" width="11.6640625" customWidth="1"/>
    <col min="8" max="8" width="9.5" customWidth="1"/>
    <col min="9" max="10" width="9.33203125" customWidth="1"/>
    <col min="11" max="11" width="9.5" customWidth="1"/>
    <col min="12" max="12" width="12.83203125" customWidth="1"/>
  </cols>
  <sheetData>
    <row r="1" spans="1:12">
      <c r="A1" s="1" t="s">
        <v>55</v>
      </c>
      <c r="F1" t="s">
        <v>56</v>
      </c>
    </row>
    <row r="2" spans="1:12">
      <c r="A2" s="10" t="s">
        <v>5</v>
      </c>
      <c r="B2" s="10" t="str">
        <f>'Initial dilution'!C3</f>
        <v>LabID_MXXXX_YYMMDD</v>
      </c>
      <c r="C2" s="10"/>
      <c r="F2" t="s">
        <v>57</v>
      </c>
    </row>
    <row r="3" spans="1:12">
      <c r="A3" s="50" t="s">
        <v>7</v>
      </c>
      <c r="B3" s="50" t="str">
        <f>'Initial dilution'!C4</f>
        <v>LabID_MXXXX_YYMMDD</v>
      </c>
      <c r="C3" s="50"/>
      <c r="F3" t="s">
        <v>58</v>
      </c>
      <c r="J3">
        <v>1.5</v>
      </c>
    </row>
    <row r="4" spans="1:12">
      <c r="A4" s="50" t="s">
        <v>59</v>
      </c>
      <c r="B4" s="162">
        <v>42282</v>
      </c>
      <c r="C4" s="162"/>
      <c r="F4" s="52" t="s">
        <v>60</v>
      </c>
      <c r="G4" s="50"/>
      <c r="H4" s="50"/>
      <c r="I4" s="50"/>
      <c r="J4" s="53">
        <v>2</v>
      </c>
    </row>
    <row r="5" spans="1:12" ht="15" thickBot="1">
      <c r="A5" s="54" t="s">
        <v>11</v>
      </c>
      <c r="B5" s="54" t="str">
        <f>'Initial dilution'!C6</f>
        <v>XXX</v>
      </c>
      <c r="C5" s="54"/>
      <c r="F5" t="s">
        <v>61</v>
      </c>
      <c r="J5">
        <v>50</v>
      </c>
    </row>
    <row r="6" spans="1:12" ht="15" thickTop="1">
      <c r="A6" t="s">
        <v>62</v>
      </c>
      <c r="F6" t="s">
        <v>63</v>
      </c>
      <c r="J6">
        <v>50</v>
      </c>
    </row>
    <row r="7" spans="1:12">
      <c r="F7" s="174" t="s">
        <v>171</v>
      </c>
      <c r="G7" s="174"/>
      <c r="H7">
        <v>2</v>
      </c>
      <c r="I7">
        <v>3</v>
      </c>
      <c r="J7">
        <v>4</v>
      </c>
    </row>
    <row r="8" spans="1:12">
      <c r="A8" s="10"/>
      <c r="B8" s="10"/>
      <c r="C8" s="10"/>
      <c r="D8" s="10"/>
      <c r="E8" s="10"/>
      <c r="F8" s="10"/>
      <c r="G8" s="10"/>
      <c r="H8" s="10"/>
      <c r="I8" s="10"/>
    </row>
    <row r="9" spans="1:12">
      <c r="E9" s="55" t="s">
        <v>64</v>
      </c>
      <c r="H9" s="176" t="s">
        <v>215</v>
      </c>
      <c r="I9" s="177"/>
      <c r="J9" s="55"/>
      <c r="K9" s="55"/>
      <c r="L9" s="56"/>
    </row>
    <row r="10" spans="1:12">
      <c r="E10" s="16" t="s">
        <v>65</v>
      </c>
      <c r="F10" s="165" t="s">
        <v>66</v>
      </c>
      <c r="G10" s="154"/>
      <c r="H10" s="166"/>
      <c r="I10" s="178"/>
      <c r="J10" s="166" t="s">
        <v>67</v>
      </c>
      <c r="K10" s="169" t="s">
        <v>68</v>
      </c>
      <c r="L10" s="167" t="s">
        <v>74</v>
      </c>
    </row>
    <row r="11" spans="1:12">
      <c r="E11" s="16" t="s">
        <v>69</v>
      </c>
      <c r="F11" s="16"/>
      <c r="H11" s="16"/>
      <c r="J11" s="166"/>
      <c r="K11" s="169"/>
      <c r="L11" s="167"/>
    </row>
    <row r="12" spans="1:12" ht="30" customHeight="1">
      <c r="A12" s="10" t="s">
        <v>21</v>
      </c>
      <c r="B12" s="10" t="s">
        <v>173</v>
      </c>
      <c r="C12" s="10" t="s">
        <v>22</v>
      </c>
      <c r="D12" s="10" t="s">
        <v>70</v>
      </c>
      <c r="E12" s="17" t="s">
        <v>71</v>
      </c>
      <c r="F12" s="21" t="s">
        <v>71</v>
      </c>
      <c r="G12" s="44" t="s">
        <v>72</v>
      </c>
      <c r="H12" s="21" t="s">
        <v>73</v>
      </c>
      <c r="I12" s="57" t="s">
        <v>212</v>
      </c>
      <c r="J12" s="146"/>
      <c r="K12" s="170"/>
      <c r="L12" s="168"/>
    </row>
    <row r="13" spans="1:12">
      <c r="A13" s="5" t="str">
        <f>'Initial dilution'!$B10</f>
        <v>FSL R9-5257</v>
      </c>
      <c r="B13" s="83">
        <f>'Initial dilution'!$C10</f>
        <v>0</v>
      </c>
      <c r="C13" s="5" t="str">
        <f>'Initial dilution'!$D10</f>
        <v>Escherichia coli O104:H4</v>
      </c>
      <c r="D13" s="39">
        <f>'Initial dilution'!$H10</f>
        <v>5.5</v>
      </c>
      <c r="E13" s="33"/>
      <c r="F13" s="33">
        <v>4</v>
      </c>
      <c r="G13" s="7">
        <f t="shared" ref="G13:G28" si="0">F13*$J$3</f>
        <v>6</v>
      </c>
      <c r="H13" s="63">
        <f t="shared" ref="H13:H28" si="1">$J$4*$J$5/G13</f>
        <v>16.666666666666668</v>
      </c>
      <c r="I13" s="64">
        <f t="shared" ref="I13:I28" si="2">$J$5-H13</f>
        <v>33.333333333333329</v>
      </c>
      <c r="J13" s="38">
        <f t="shared" ref="J13:J32" si="3">D13/MAX($D:$D)</f>
        <v>6.5243179122182679E-2</v>
      </c>
      <c r="K13" s="68">
        <f t="shared" ref="K13:K28" si="4">J13*$J$6</f>
        <v>3.262158956109134</v>
      </c>
      <c r="L13" s="59"/>
    </row>
    <row r="14" spans="1:12">
      <c r="A14" s="5" t="str">
        <f>'Initial dilution'!$B11</f>
        <v>FSL R9-5509</v>
      </c>
      <c r="B14" s="83">
        <f>'Initial dilution'!$C11</f>
        <v>0</v>
      </c>
      <c r="C14" s="5" t="str">
        <f>'Initial dilution'!$D11</f>
        <v>Escherichia coli O121</v>
      </c>
      <c r="D14" s="15">
        <f>'Initial dilution'!$H11</f>
        <v>5.5</v>
      </c>
      <c r="E14" s="41"/>
      <c r="F14" s="41">
        <v>4</v>
      </c>
      <c r="G14" s="7">
        <f t="shared" si="0"/>
        <v>6</v>
      </c>
      <c r="H14" s="65">
        <f t="shared" si="1"/>
        <v>16.666666666666668</v>
      </c>
      <c r="I14" s="64">
        <f t="shared" si="2"/>
        <v>33.333333333333329</v>
      </c>
      <c r="J14" s="43">
        <f t="shared" si="3"/>
        <v>6.5243179122182679E-2</v>
      </c>
      <c r="K14" s="69">
        <f t="shared" si="4"/>
        <v>3.262158956109134</v>
      </c>
      <c r="L14" s="59"/>
    </row>
    <row r="15" spans="1:12">
      <c r="A15" s="5" t="str">
        <f>'Initial dilution'!$B12</f>
        <v>FSL R9-5272</v>
      </c>
      <c r="B15" s="83">
        <f>'Initial dilution'!$C12</f>
        <v>0</v>
      </c>
      <c r="C15" s="5" t="str">
        <f>'Initial dilution'!$D12</f>
        <v>Salmonella enterica Enteriditis</v>
      </c>
      <c r="D15" s="15">
        <f>'Initial dilution'!$H12</f>
        <v>5.4</v>
      </c>
      <c r="E15" s="41"/>
      <c r="F15" s="41">
        <v>4</v>
      </c>
      <c r="G15" s="7">
        <f t="shared" si="0"/>
        <v>6</v>
      </c>
      <c r="H15" s="65">
        <f t="shared" si="1"/>
        <v>16.666666666666668</v>
      </c>
      <c r="I15" s="64">
        <f t="shared" si="2"/>
        <v>33.333333333333329</v>
      </c>
      <c r="J15" s="43">
        <f t="shared" si="3"/>
        <v>6.4056939501779361E-2</v>
      </c>
      <c r="K15" s="69">
        <f t="shared" si="4"/>
        <v>3.2028469750889679</v>
      </c>
      <c r="L15" s="59"/>
    </row>
    <row r="16" spans="1:12">
      <c r="A16" s="61" t="str">
        <f>'Initial dilution'!$B13</f>
        <v>FSL R9-5273</v>
      </c>
      <c r="B16" s="61">
        <f>'Initial dilution'!$C13</f>
        <v>0</v>
      </c>
      <c r="C16" s="61" t="str">
        <f>'Initial dilution'!$D13</f>
        <v>Salmonella enterica Javiana</v>
      </c>
      <c r="D16" s="44">
        <f>'Initial dilution'!$H13</f>
        <v>5.4</v>
      </c>
      <c r="E16" s="46"/>
      <c r="F16" s="46">
        <v>4</v>
      </c>
      <c r="G16" s="49">
        <f t="shared" si="0"/>
        <v>6</v>
      </c>
      <c r="H16" s="66">
        <f t="shared" si="1"/>
        <v>16.666666666666668</v>
      </c>
      <c r="I16" s="67">
        <f t="shared" si="2"/>
        <v>33.333333333333329</v>
      </c>
      <c r="J16" s="48">
        <f t="shared" si="3"/>
        <v>6.4056939501779361E-2</v>
      </c>
      <c r="K16" s="70">
        <f t="shared" si="4"/>
        <v>3.2028469750889679</v>
      </c>
      <c r="L16" s="59"/>
    </row>
    <row r="17" spans="1:12">
      <c r="A17" s="5" t="str">
        <f>'Initial dilution'!$B14</f>
        <v>FSL R9-5512</v>
      </c>
      <c r="B17" s="83">
        <f>'Initial dilution'!$C14</f>
        <v>0</v>
      </c>
      <c r="C17" s="5" t="str">
        <f>'Initial dilution'!$D14</f>
        <v>Escherichia coli O26:H11</v>
      </c>
      <c r="D17" s="39">
        <f>'Initial dilution'!$H14</f>
        <v>5.5</v>
      </c>
      <c r="E17" s="33"/>
      <c r="F17" s="33">
        <v>4</v>
      </c>
      <c r="G17" s="7">
        <f t="shared" si="0"/>
        <v>6</v>
      </c>
      <c r="H17" s="63">
        <f t="shared" si="1"/>
        <v>16.666666666666668</v>
      </c>
      <c r="I17" s="64">
        <f t="shared" si="2"/>
        <v>33.333333333333329</v>
      </c>
      <c r="J17" s="38">
        <f t="shared" si="3"/>
        <v>6.5243179122182679E-2</v>
      </c>
      <c r="K17" s="68">
        <f t="shared" si="4"/>
        <v>3.262158956109134</v>
      </c>
      <c r="L17" s="59"/>
    </row>
    <row r="18" spans="1:12">
      <c r="A18" s="5" t="str">
        <f>'Initial dilution'!$B15</f>
        <v>FSL S5-395 WT</v>
      </c>
      <c r="B18" s="83">
        <f>'Initial dilution'!$C15</f>
        <v>0</v>
      </c>
      <c r="C18" s="5" t="str">
        <f>'Initial dilution'!$D15</f>
        <v>Salmonella enterica</v>
      </c>
      <c r="D18" s="15">
        <f>'Initial dilution'!$H15</f>
        <v>5.4</v>
      </c>
      <c r="E18" s="41"/>
      <c r="F18" s="41">
        <v>4</v>
      </c>
      <c r="G18" s="7">
        <f t="shared" si="0"/>
        <v>6</v>
      </c>
      <c r="H18" s="65">
        <f t="shared" si="1"/>
        <v>16.666666666666668</v>
      </c>
      <c r="I18" s="64">
        <f t="shared" si="2"/>
        <v>33.333333333333329</v>
      </c>
      <c r="J18" s="43">
        <f t="shared" si="3"/>
        <v>6.4056939501779361E-2</v>
      </c>
      <c r="K18" s="69">
        <f t="shared" si="4"/>
        <v>3.2028469750889679</v>
      </c>
      <c r="L18" s="59"/>
    </row>
    <row r="19" spans="1:12">
      <c r="A19" s="5" t="str">
        <f>'Initial dilution'!$B16</f>
        <v>FSL R9-5400</v>
      </c>
      <c r="B19" s="83">
        <f>'Initial dilution'!$C16</f>
        <v>0</v>
      </c>
      <c r="C19" s="5" t="str">
        <f>'Initial dilution'!$D16</f>
        <v>Salmonella enterica Saintpaul</v>
      </c>
      <c r="D19" s="15">
        <f>'Initial dilution'!$H16</f>
        <v>5.4</v>
      </c>
      <c r="E19" s="41"/>
      <c r="F19" s="41">
        <v>4</v>
      </c>
      <c r="G19" s="7">
        <f t="shared" si="0"/>
        <v>6</v>
      </c>
      <c r="H19" s="65">
        <f t="shared" si="1"/>
        <v>16.666666666666668</v>
      </c>
      <c r="I19" s="64">
        <f t="shared" si="2"/>
        <v>33.333333333333329</v>
      </c>
      <c r="J19" s="43">
        <f t="shared" si="3"/>
        <v>6.4056939501779361E-2</v>
      </c>
      <c r="K19" s="69">
        <f t="shared" si="4"/>
        <v>3.2028469750889679</v>
      </c>
      <c r="L19" s="59"/>
    </row>
    <row r="20" spans="1:12">
      <c r="A20" s="61" t="str">
        <f>'Initial dilution'!$B17</f>
        <v>FSL R9-5402</v>
      </c>
      <c r="B20" s="61">
        <f>'Initial dilution'!$C17</f>
        <v>0</v>
      </c>
      <c r="C20" s="61" t="str">
        <f>'Initial dilution'!$D17</f>
        <v>Salmonella enterica Tennessee</v>
      </c>
      <c r="D20" s="44">
        <f>'Initial dilution'!$H17</f>
        <v>5.4</v>
      </c>
      <c r="E20" s="46"/>
      <c r="F20" s="46">
        <v>4</v>
      </c>
      <c r="G20" s="49">
        <f t="shared" si="0"/>
        <v>6</v>
      </c>
      <c r="H20" s="66">
        <f t="shared" si="1"/>
        <v>16.666666666666668</v>
      </c>
      <c r="I20" s="67">
        <f t="shared" si="2"/>
        <v>33.333333333333329</v>
      </c>
      <c r="J20" s="48">
        <f t="shared" si="3"/>
        <v>6.4056939501779361E-2</v>
      </c>
      <c r="K20" s="70">
        <f t="shared" si="4"/>
        <v>3.2028469750889679</v>
      </c>
      <c r="L20" s="59"/>
    </row>
    <row r="21" spans="1:12">
      <c r="A21" s="5" t="str">
        <f>'Initial dilution'!$B18</f>
        <v>FSL R9-5409</v>
      </c>
      <c r="B21" s="83">
        <f>'Initial dilution'!$C18</f>
        <v>0</v>
      </c>
      <c r="C21" s="5" t="str">
        <f>'Initial dilution'!$D18</f>
        <v>Salmonella enterica Typhimirium</v>
      </c>
      <c r="D21" s="39">
        <f>'Initial dilution'!$H18</f>
        <v>5.4</v>
      </c>
      <c r="E21" s="33"/>
      <c r="F21" s="33">
        <v>4</v>
      </c>
      <c r="G21" s="7">
        <f t="shared" si="0"/>
        <v>6</v>
      </c>
      <c r="H21" s="63">
        <f t="shared" si="1"/>
        <v>16.666666666666668</v>
      </c>
      <c r="I21" s="64">
        <f t="shared" si="2"/>
        <v>33.333333333333329</v>
      </c>
      <c r="J21" s="38">
        <f t="shared" si="3"/>
        <v>6.4056939501779361E-2</v>
      </c>
      <c r="K21" s="68">
        <f t="shared" si="4"/>
        <v>3.2028469750889679</v>
      </c>
      <c r="L21" s="59"/>
    </row>
    <row r="22" spans="1:12">
      <c r="A22" s="5" t="str">
        <f>'Initial dilution'!$B19</f>
        <v>FSL R9-5494</v>
      </c>
      <c r="B22" s="83">
        <f>'Initial dilution'!$C19</f>
        <v>0</v>
      </c>
      <c r="C22" s="5" t="str">
        <f>'Initial dilution'!$D19</f>
        <v>Salmonella enterica Typhimirium</v>
      </c>
      <c r="D22" s="15">
        <f>'Initial dilution'!$H19</f>
        <v>5.4</v>
      </c>
      <c r="E22" s="41"/>
      <c r="F22" s="41">
        <v>4</v>
      </c>
      <c r="G22" s="7">
        <f t="shared" si="0"/>
        <v>6</v>
      </c>
      <c r="H22" s="65">
        <f t="shared" si="1"/>
        <v>16.666666666666668</v>
      </c>
      <c r="I22" s="64">
        <f t="shared" si="2"/>
        <v>33.333333333333329</v>
      </c>
      <c r="J22" s="43">
        <f t="shared" si="3"/>
        <v>6.4056939501779361E-2</v>
      </c>
      <c r="K22" s="69">
        <f t="shared" si="4"/>
        <v>3.2028469750889679</v>
      </c>
      <c r="L22" s="59"/>
    </row>
    <row r="23" spans="1:12">
      <c r="A23" s="5" t="str">
        <f>'Initial dilution'!$B20</f>
        <v>FSL R9-5496</v>
      </c>
      <c r="B23" s="83">
        <f>'Initial dilution'!$C20</f>
        <v>0</v>
      </c>
      <c r="C23" s="5" t="str">
        <f>'Initial dilution'!$D20</f>
        <v>Salmonella enterica I 4,[5],12:i:-</v>
      </c>
      <c r="D23" s="15">
        <f>'Initial dilution'!$H20</f>
        <v>5.4</v>
      </c>
      <c r="E23" s="41"/>
      <c r="F23" s="41">
        <v>4</v>
      </c>
      <c r="G23" s="7">
        <f t="shared" si="0"/>
        <v>6</v>
      </c>
      <c r="H23" s="65">
        <f t="shared" si="1"/>
        <v>16.666666666666668</v>
      </c>
      <c r="I23" s="64">
        <f t="shared" si="2"/>
        <v>33.333333333333329</v>
      </c>
      <c r="J23" s="43">
        <f t="shared" si="3"/>
        <v>6.4056939501779361E-2</v>
      </c>
      <c r="K23" s="69">
        <f t="shared" si="4"/>
        <v>3.2028469750889679</v>
      </c>
      <c r="L23" s="59"/>
    </row>
    <row r="24" spans="1:12">
      <c r="A24" s="61" t="str">
        <f>'Initial dilution'!$B21</f>
        <v>FSL R9-5497</v>
      </c>
      <c r="B24" s="61">
        <f>'Initial dilution'!$C21</f>
        <v>0</v>
      </c>
      <c r="C24" s="61" t="str">
        <f>'Initial dilution'!$D21</f>
        <v>Salmonella enterica Infantis</v>
      </c>
      <c r="D24" s="44">
        <f>'Initial dilution'!$H21</f>
        <v>5.4</v>
      </c>
      <c r="E24" s="46"/>
      <c r="F24" s="46">
        <v>4</v>
      </c>
      <c r="G24" s="49">
        <f t="shared" si="0"/>
        <v>6</v>
      </c>
      <c r="H24" s="66">
        <f t="shared" si="1"/>
        <v>16.666666666666668</v>
      </c>
      <c r="I24" s="67">
        <f t="shared" si="2"/>
        <v>33.333333333333329</v>
      </c>
      <c r="J24" s="48">
        <f t="shared" si="3"/>
        <v>6.4056939501779361E-2</v>
      </c>
      <c r="K24" s="70">
        <f t="shared" si="4"/>
        <v>3.2028469750889679</v>
      </c>
      <c r="L24" s="59"/>
    </row>
    <row r="25" spans="1:12">
      <c r="A25" s="5" t="str">
        <f>'Initial dilution'!$B22</f>
        <v>FSL R9-5498</v>
      </c>
      <c r="B25" s="83">
        <f>'Initial dilution'!$C22</f>
        <v>0</v>
      </c>
      <c r="C25" s="5" t="str">
        <f>'Initial dilution'!$D22</f>
        <v>Salmonella enterica Muenchen</v>
      </c>
      <c r="D25" s="39">
        <f>'Initial dilution'!$H22</f>
        <v>5.4</v>
      </c>
      <c r="E25" s="33"/>
      <c r="F25" s="33"/>
      <c r="G25" s="7">
        <f t="shared" si="0"/>
        <v>0</v>
      </c>
      <c r="H25" s="63" t="e">
        <f t="shared" si="1"/>
        <v>#DIV/0!</v>
      </c>
      <c r="I25" s="64" t="e">
        <f t="shared" si="2"/>
        <v>#DIV/0!</v>
      </c>
      <c r="J25" s="38">
        <f t="shared" si="3"/>
        <v>6.4056939501779361E-2</v>
      </c>
      <c r="K25" s="68">
        <f t="shared" si="4"/>
        <v>3.2028469750889679</v>
      </c>
      <c r="L25" s="59"/>
    </row>
    <row r="26" spans="1:12">
      <c r="A26" s="5" t="str">
        <f>'Initial dilution'!$B23</f>
        <v>FSL R9-5499</v>
      </c>
      <c r="B26" s="83">
        <f>'Initial dilution'!$C23</f>
        <v>0</v>
      </c>
      <c r="C26" s="5" t="str">
        <f>'Initial dilution'!$D23</f>
        <v>Salmonella enterica I 13,23:b:-</v>
      </c>
      <c r="D26" s="15">
        <f>'Initial dilution'!$H23</f>
        <v>5.4</v>
      </c>
      <c r="E26" s="41"/>
      <c r="F26" s="41"/>
      <c r="G26" s="7">
        <f t="shared" si="0"/>
        <v>0</v>
      </c>
      <c r="H26" s="65" t="e">
        <f t="shared" si="1"/>
        <v>#DIV/0!</v>
      </c>
      <c r="I26" s="64" t="e">
        <f t="shared" si="2"/>
        <v>#DIV/0!</v>
      </c>
      <c r="J26" s="43">
        <f t="shared" si="3"/>
        <v>6.4056939501779361E-2</v>
      </c>
      <c r="K26" s="69">
        <f t="shared" si="4"/>
        <v>3.2028469750889679</v>
      </c>
      <c r="L26" s="59"/>
    </row>
    <row r="27" spans="1:12">
      <c r="A27" s="5" t="str">
        <f>'Initial dilution'!$B24</f>
        <v>FSL S5-395 ∆phoN</v>
      </c>
      <c r="B27" s="83">
        <f>'Initial dilution'!$C24</f>
        <v>0</v>
      </c>
      <c r="C27" s="5" t="str">
        <f>'Initial dilution'!$D24</f>
        <v>Salmonella enterica</v>
      </c>
      <c r="D27" s="15">
        <f>'Initial dilution'!$H24</f>
        <v>5.4</v>
      </c>
      <c r="E27" s="41"/>
      <c r="F27" s="41"/>
      <c r="G27" s="7">
        <f t="shared" si="0"/>
        <v>0</v>
      </c>
      <c r="H27" s="65" t="e">
        <f t="shared" si="1"/>
        <v>#DIV/0!</v>
      </c>
      <c r="I27" s="64" t="e">
        <f t="shared" si="2"/>
        <v>#DIV/0!</v>
      </c>
      <c r="J27" s="43">
        <f t="shared" si="3"/>
        <v>6.4056939501779361E-2</v>
      </c>
      <c r="K27" s="69">
        <f t="shared" si="4"/>
        <v>3.2028469750889679</v>
      </c>
      <c r="L27" s="59"/>
    </row>
    <row r="28" spans="1:12">
      <c r="A28" s="61" t="str">
        <f>'Initial dilution'!$B25</f>
        <v>FSL R2-503</v>
      </c>
      <c r="B28" s="61">
        <f>'Initial dilution'!$C25</f>
        <v>0</v>
      </c>
      <c r="C28" s="61" t="str">
        <f>'Initial dilution'!$D25</f>
        <v>Listeria monocytogenes [I]1/2b</v>
      </c>
      <c r="D28" s="44">
        <f>'Initial dilution'!$H25</f>
        <v>3</v>
      </c>
      <c r="E28" s="46"/>
      <c r="F28" s="46"/>
      <c r="G28" s="49">
        <f t="shared" si="0"/>
        <v>0</v>
      </c>
      <c r="H28" s="66" t="e">
        <f t="shared" si="1"/>
        <v>#DIV/0!</v>
      </c>
      <c r="I28" s="67" t="e">
        <f t="shared" si="2"/>
        <v>#DIV/0!</v>
      </c>
      <c r="J28" s="48">
        <f t="shared" si="3"/>
        <v>3.5587188612099641E-2</v>
      </c>
      <c r="K28" s="70">
        <f t="shared" si="4"/>
        <v>1.779359430604982</v>
      </c>
      <c r="L28" s="59"/>
    </row>
    <row r="29" spans="1:12">
      <c r="A29" s="136">
        <f>'Initial dilution'!$B26</f>
        <v>0</v>
      </c>
      <c r="B29" s="136">
        <f>'Initial dilution'!$C26</f>
        <v>0</v>
      </c>
      <c r="C29" s="136">
        <f>'Initial dilution'!$D26</f>
        <v>0</v>
      </c>
      <c r="D29" s="39">
        <f>'Initial dilution'!$H26</f>
        <v>0</v>
      </c>
      <c r="E29" s="33"/>
      <c r="F29" s="33"/>
      <c r="G29" s="133">
        <f t="shared" ref="G29:G32" si="5">F29*$J$3</f>
        <v>0</v>
      </c>
      <c r="H29" s="63" t="e">
        <f t="shared" ref="H29:H32" si="6">$J$4*$J$5/G29</f>
        <v>#DIV/0!</v>
      </c>
      <c r="I29" s="64" t="e">
        <f t="shared" ref="I29:I32" si="7">$J$5-H29</f>
        <v>#DIV/0!</v>
      </c>
      <c r="J29" s="38">
        <f t="shared" si="3"/>
        <v>0</v>
      </c>
      <c r="K29" s="68">
        <f t="shared" ref="K29:K32" si="8">J29*$J$6</f>
        <v>0</v>
      </c>
      <c r="L29" s="59"/>
    </row>
    <row r="30" spans="1:12">
      <c r="A30" s="136">
        <f>'Initial dilution'!$B27</f>
        <v>0</v>
      </c>
      <c r="B30" s="136">
        <f>'Initial dilution'!$C27</f>
        <v>0</v>
      </c>
      <c r="C30" s="136">
        <f>'Initial dilution'!$D27</f>
        <v>0</v>
      </c>
      <c r="D30" s="15">
        <f>'Initial dilution'!$H27</f>
        <v>0</v>
      </c>
      <c r="E30" s="41"/>
      <c r="F30" s="41"/>
      <c r="G30" s="133">
        <f t="shared" si="5"/>
        <v>0</v>
      </c>
      <c r="H30" s="65" t="e">
        <f t="shared" si="6"/>
        <v>#DIV/0!</v>
      </c>
      <c r="I30" s="64" t="e">
        <f t="shared" si="7"/>
        <v>#DIV/0!</v>
      </c>
      <c r="J30" s="43">
        <f t="shared" si="3"/>
        <v>0</v>
      </c>
      <c r="K30" s="69">
        <f t="shared" si="8"/>
        <v>0</v>
      </c>
      <c r="L30" s="59"/>
    </row>
    <row r="31" spans="1:12">
      <c r="A31" s="136">
        <f>'Initial dilution'!$B28</f>
        <v>0</v>
      </c>
      <c r="B31" s="136">
        <f>'Initial dilution'!$C28</f>
        <v>0</v>
      </c>
      <c r="C31" s="136">
        <f>'Initial dilution'!$D28</f>
        <v>0</v>
      </c>
      <c r="D31" s="15">
        <f>'Initial dilution'!$H28</f>
        <v>0</v>
      </c>
      <c r="E31" s="41"/>
      <c r="F31" s="41"/>
      <c r="G31" s="133">
        <f t="shared" si="5"/>
        <v>0</v>
      </c>
      <c r="H31" s="65" t="e">
        <f t="shared" si="6"/>
        <v>#DIV/0!</v>
      </c>
      <c r="I31" s="64" t="e">
        <f t="shared" si="7"/>
        <v>#DIV/0!</v>
      </c>
      <c r="J31" s="43">
        <f t="shared" si="3"/>
        <v>0</v>
      </c>
      <c r="K31" s="69">
        <f t="shared" si="8"/>
        <v>0</v>
      </c>
      <c r="L31" s="59"/>
    </row>
    <row r="32" spans="1:12">
      <c r="A32" s="61">
        <f>'Initial dilution'!$B29</f>
        <v>0</v>
      </c>
      <c r="B32" s="61">
        <f>'Initial dilution'!$C29</f>
        <v>0</v>
      </c>
      <c r="C32" s="61">
        <f>'Initial dilution'!$D29</f>
        <v>0</v>
      </c>
      <c r="D32" s="44">
        <f>'Initial dilution'!$H29</f>
        <v>0</v>
      </c>
      <c r="E32" s="46"/>
      <c r="F32" s="46"/>
      <c r="G32" s="49">
        <f t="shared" si="5"/>
        <v>0</v>
      </c>
      <c r="H32" s="66" t="e">
        <f t="shared" si="6"/>
        <v>#DIV/0!</v>
      </c>
      <c r="I32" s="67" t="e">
        <f t="shared" si="7"/>
        <v>#DIV/0!</v>
      </c>
      <c r="J32" s="48">
        <f t="shared" si="3"/>
        <v>0</v>
      </c>
      <c r="K32" s="70">
        <f t="shared" si="8"/>
        <v>0</v>
      </c>
      <c r="L32" s="59"/>
    </row>
    <row r="33" spans="1:11">
      <c r="K33" s="132"/>
    </row>
    <row r="34" spans="1:11">
      <c r="C34" s="2" t="s">
        <v>75</v>
      </c>
      <c r="D34" s="7">
        <f>SUM($D$13:$D$32)</f>
        <v>84.300000000000011</v>
      </c>
    </row>
    <row r="35" spans="1:11">
      <c r="A35" t="s">
        <v>157</v>
      </c>
      <c r="B35" s="2"/>
      <c r="C35" s="71"/>
    </row>
    <row r="37" spans="1:11">
      <c r="A37" t="s">
        <v>28</v>
      </c>
      <c r="G37" s="52"/>
      <c r="H37" s="50"/>
      <c r="I37" s="59" t="s">
        <v>76</v>
      </c>
      <c r="J37" s="59" t="s">
        <v>77</v>
      </c>
    </row>
    <row r="38" spans="1:11">
      <c r="A38" s="4"/>
      <c r="B38" s="4"/>
      <c r="C38" s="4"/>
      <c r="D38" s="4"/>
      <c r="G38" s="51" t="s">
        <v>78</v>
      </c>
      <c r="I38" s="58"/>
      <c r="J38" s="58"/>
    </row>
    <row r="39" spans="1:11">
      <c r="A39" s="4"/>
      <c r="B39" s="4"/>
      <c r="C39" s="4"/>
      <c r="D39" s="4"/>
      <c r="G39" s="16" t="s">
        <v>79</v>
      </c>
      <c r="I39" s="58"/>
      <c r="J39" s="58"/>
    </row>
    <row r="40" spans="1:11">
      <c r="A40" s="4"/>
      <c r="B40" s="4"/>
      <c r="C40" s="4"/>
      <c r="D40" s="4"/>
      <c r="G40" s="17" t="s">
        <v>80</v>
      </c>
      <c r="H40" s="10"/>
      <c r="I40" s="58"/>
      <c r="J40" s="58"/>
    </row>
    <row r="41" spans="1:11">
      <c r="A41" s="4"/>
      <c r="B41" s="4"/>
      <c r="C41" s="4"/>
      <c r="D41" s="4"/>
    </row>
    <row r="42" spans="1:11">
      <c r="A42" s="4"/>
      <c r="B42" s="4"/>
      <c r="C42" s="4"/>
      <c r="D42" s="4"/>
      <c r="G42" s="171" t="s">
        <v>81</v>
      </c>
      <c r="H42" s="172"/>
      <c r="I42" s="173"/>
      <c r="J42" s="173"/>
    </row>
    <row r="43" spans="1:11">
      <c r="A43" s="4"/>
      <c r="B43" s="4"/>
      <c r="C43" s="4"/>
      <c r="D43" s="4"/>
      <c r="G43" s="52" t="s">
        <v>82</v>
      </c>
      <c r="H43" s="60"/>
      <c r="I43" s="175"/>
      <c r="J43" s="175"/>
    </row>
    <row r="44" spans="1:11">
      <c r="A44" s="4"/>
      <c r="B44" s="4"/>
      <c r="C44" s="4"/>
      <c r="D44" s="4"/>
      <c r="G44" s="52" t="s">
        <v>83</v>
      </c>
      <c r="H44" s="60"/>
      <c r="I44" s="160"/>
      <c r="J44" s="161"/>
    </row>
    <row r="45" spans="1:11">
      <c r="A45" s="4"/>
      <c r="B45" s="4"/>
      <c r="C45" s="4"/>
      <c r="D45" s="4"/>
      <c r="G45" s="52" t="s">
        <v>84</v>
      </c>
      <c r="H45" s="60"/>
      <c r="I45" s="160"/>
      <c r="J45" s="161"/>
    </row>
    <row r="46" spans="1:11">
      <c r="A46" s="4"/>
      <c r="B46" s="4"/>
      <c r="C46" s="4"/>
      <c r="D46" s="4"/>
      <c r="G46" s="52" t="s">
        <v>85</v>
      </c>
      <c r="H46" s="60"/>
      <c r="I46" s="163"/>
      <c r="J46" s="164"/>
    </row>
  </sheetData>
  <mergeCells count="12">
    <mergeCell ref="L10:L12"/>
    <mergeCell ref="K10:K12"/>
    <mergeCell ref="G42:J42"/>
    <mergeCell ref="F7:G7"/>
    <mergeCell ref="I43:J43"/>
    <mergeCell ref="H9:I10"/>
    <mergeCell ref="I44:J44"/>
    <mergeCell ref="B4:C4"/>
    <mergeCell ref="I45:J45"/>
    <mergeCell ref="I46:J46"/>
    <mergeCell ref="F10:G10"/>
    <mergeCell ref="J10:J12"/>
  </mergeCells>
  <dataValidations count="2">
    <dataValidation type="list" allowBlank="1" showInputMessage="1" sqref="L13:L32">
      <formula1>"Machine failure, Low coverage, Concentration lost during clean-up, Contamination"</formula1>
    </dataValidation>
    <dataValidation type="list" allowBlank="1" showInputMessage="1" sqref="J4">
      <formula1>$H$7:$J$7</formula1>
    </dataValidation>
  </dataValidations>
  <pageMargins left="0.7" right="0.7" top="0.75" bottom="0.75" header="0.3" footer="0.3"/>
  <pageSetup scale="64" orientation="landscape"/>
  <headerFooter>
    <oddHeader>&amp;C&amp;"-,Bold"Nextera XT Library Workbook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/>
  <dimension ref="A1:I40"/>
  <sheetViews>
    <sheetView topLeftCell="A22" workbookViewId="0">
      <selection activeCell="E36" sqref="E36"/>
    </sheetView>
  </sheetViews>
  <sheetFormatPr baseColWidth="10" defaultColWidth="8.83203125" defaultRowHeight="14" x14ac:dyDescent="0"/>
  <cols>
    <col min="1" max="1" width="38.6640625" bestFit="1" customWidth="1"/>
    <col min="2" max="2" width="26" bestFit="1" customWidth="1"/>
    <col min="3" max="3" width="12.33203125" bestFit="1" customWidth="1"/>
    <col min="4" max="4" width="10.6640625" bestFit="1" customWidth="1"/>
    <col min="5" max="5" width="11.83203125" bestFit="1" customWidth="1"/>
    <col min="6" max="6" width="10.6640625" bestFit="1" customWidth="1"/>
    <col min="7" max="7" width="11.6640625" bestFit="1" customWidth="1"/>
    <col min="8" max="8" width="14.83203125" bestFit="1" customWidth="1"/>
    <col min="9" max="9" width="68.33203125" bestFit="1" customWidth="1"/>
  </cols>
  <sheetData>
    <row r="1" spans="1:2">
      <c r="A1" t="s">
        <v>86</v>
      </c>
    </row>
    <row r="2" spans="1:2">
      <c r="A2" t="s">
        <v>87</v>
      </c>
      <c r="B2">
        <v>4</v>
      </c>
    </row>
    <row r="3" spans="1:2">
      <c r="A3" t="s">
        <v>88</v>
      </c>
      <c r="B3" t="str">
        <f>'Initial dilution'!$C$6</f>
        <v>XXX</v>
      </c>
    </row>
    <row r="4" spans="1:2">
      <c r="A4" t="s">
        <v>59</v>
      </c>
      <c r="B4" s="6">
        <f>'Initial dilution'!$C$5</f>
        <v>42282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</row>
    <row r="9" spans="1:2">
      <c r="A9" t="s">
        <v>96</v>
      </c>
      <c r="B9" t="s">
        <v>97</v>
      </c>
    </row>
    <row r="11" spans="1:2">
      <c r="A11" t="s">
        <v>98</v>
      </c>
    </row>
    <row r="12" spans="1:2">
      <c r="A12">
        <v>251</v>
      </c>
    </row>
    <row r="13" spans="1:2">
      <c r="A13">
        <v>251</v>
      </c>
    </row>
    <row r="15" spans="1:2">
      <c r="A15" t="s">
        <v>99</v>
      </c>
    </row>
    <row r="16" spans="1:2">
      <c r="A16" t="s">
        <v>100</v>
      </c>
      <c r="B16">
        <v>0</v>
      </c>
    </row>
    <row r="17" spans="1:9">
      <c r="A17" t="s">
        <v>101</v>
      </c>
      <c r="B17" t="s">
        <v>102</v>
      </c>
    </row>
    <row r="19" spans="1:9">
      <c r="A19" t="s">
        <v>103</v>
      </c>
    </row>
    <row r="20" spans="1:9">
      <c r="A20" t="s">
        <v>104</v>
      </c>
      <c r="B20" t="s">
        <v>105</v>
      </c>
      <c r="C20" t="s">
        <v>106</v>
      </c>
      <c r="D20" t="s">
        <v>107</v>
      </c>
      <c r="E20" t="s">
        <v>108</v>
      </c>
      <c r="F20" t="s">
        <v>109</v>
      </c>
      <c r="G20" t="s">
        <v>110</v>
      </c>
      <c r="H20" t="s">
        <v>111</v>
      </c>
      <c r="I20" t="s">
        <v>95</v>
      </c>
    </row>
    <row r="21" spans="1:9">
      <c r="A21" t="str">
        <f>IF(LEN('Initial dilution'!$B10)&gt;0,'Initial dilution'!$B10,"")&amp;"-"&amp;B21&amp;"-"</f>
        <v>FSL R9-5257-LabID_MXXXX_YYMMDD-</v>
      </c>
      <c r="B21" t="str">
        <f>IF(LEN('Initial dilution'!$B10)&gt;0, 'Initial dilution'!$C$3,"")</f>
        <v>LabID_MXXXX_YYMMDD</v>
      </c>
      <c r="C21" t="str">
        <f>IF(LEN('Initial dilution'!$B10)&gt;0, 'Initial dilution'!$A10,"")</f>
        <v>A01</v>
      </c>
      <c r="D21" t="str">
        <f>IF(OR(LEN('Initial dilution'!$B10)=0, LEN('Initial dilution'!$E10)=0), "", IF(LEFT(RIGHT('Initial dilution'!$E10,3),1)="7",'Initial dilution'!$E10,'Initial dilution'!$F13))</f>
        <v>N701</v>
      </c>
      <c r="E21" t="str">
        <f>IF(LEN(D21)=0,"",VLOOKUP(D21, Indices!$A:$B, 2, FALSE))</f>
        <v>TAAGGCGA</v>
      </c>
      <c r="F21" t="str">
        <f>IF(OR(LEN('Initial dilution'!$B10)=0, LEN('Initial dilution'!$F10)=0), "", IF(LEFT(RIGHT('Initial dilution'!$F10,3),1)="5",'Initial dilution'!$F10,'Initial dilution'!$E10))</f>
        <v>S517</v>
      </c>
      <c r="G21" t="str">
        <f>IF(LEN(F21)=0,"",VLOOKUP(F21, Indices!$A:$B, 2, FALSE))</f>
        <v>GCGTAAGA</v>
      </c>
      <c r="H21">
        <f>IF(LEN('Initial dilution'!$B10)&gt;0, 'Initial dilution'!$C10,"")</f>
        <v>0</v>
      </c>
      <c r="I21" t="str">
        <f>IF(LEN('Initial dilution'!$B10)=0, "", "Species=" &amp; SUBSTITUTE(SUBSTITUTE('Initial dilution'!$D10, ",", "_"), " ", "_")) &amp; IF(LEN('Initial dilution'!$B10)=0, "", ";ExpectedGenomeSize=" &amp; VLOOKUP('Initial dilution'!$B10, 'Initial dilution'!$B:$I, 7, FALSE))</f>
        <v>Species=Escherichia_coli_O104:H4;ExpectedGenomeSize=5.5</v>
      </c>
    </row>
    <row r="22" spans="1:9">
      <c r="A22" t="str">
        <f>IF(LEN('Initial dilution'!$B11)&gt;0,'Initial dilution'!$B11,"")&amp;"-"&amp;B22&amp;"-"</f>
        <v>FSL R9-5509-LabID_MXXXX_YYMMDD-</v>
      </c>
      <c r="B22" t="str">
        <f>IF(LEN('Initial dilution'!$B11)&gt;0, 'Initial dilution'!$C$3,"")</f>
        <v>LabID_MXXXX_YYMMDD</v>
      </c>
      <c r="C22" t="str">
        <f>IF(LEN('Initial dilution'!$B11)&gt;0, 'Initial dilution'!$A11,"")</f>
        <v>B01</v>
      </c>
      <c r="D22" t="str">
        <f>IF(OR(LEN('Initial dilution'!$B11)=0, LEN('Initial dilution'!$E11)=0), "", IF(LEFT(RIGHT('Initial dilution'!$E11,3),1)="7",'Initial dilution'!$E11,'Initial dilution'!$F14))</f>
        <v>N702</v>
      </c>
      <c r="E22" t="str">
        <f>IF(LEN(D22)=0,"",VLOOKUP(D22, Indices!$A:$B, 2, FALSE))</f>
        <v>CGTACTAG</v>
      </c>
      <c r="F22" t="str">
        <f>IF(OR(LEN('Initial dilution'!$B11)=0, LEN('Initial dilution'!$F11)=0), "", IF(LEFT(RIGHT('Initial dilution'!$F11,3),1)="5",'Initial dilution'!$F11,'Initial dilution'!$E11))</f>
        <v>S517</v>
      </c>
      <c r="G22" t="str">
        <f>IF(LEN(F22)=0,"",VLOOKUP(F22, Indices!$A:$B, 2, FALSE))</f>
        <v>GCGTAAGA</v>
      </c>
      <c r="H22">
        <f>IF(LEN('Initial dilution'!$B11)&gt;0, 'Initial dilution'!$C11,"")</f>
        <v>0</v>
      </c>
      <c r="I22" t="str">
        <f>IF(LEN('Initial dilution'!$B11)=0, "", "Species=" &amp; SUBSTITUTE(SUBSTITUTE('Initial dilution'!$D11, ",", "_"), " ", "_")) &amp; IF(LEN('Initial dilution'!$B11)=0, "", ";ExpectedGenomeSize=" &amp; VLOOKUP('Initial dilution'!$B11, 'Initial dilution'!$B:$I, 7, FALSE))</f>
        <v>Species=Escherichia_coli_O121;ExpectedGenomeSize=5.5</v>
      </c>
    </row>
    <row r="23" spans="1:9">
      <c r="A23" t="str">
        <f>IF(LEN('Initial dilution'!$B12)&gt;0,'Initial dilution'!$B12,"")&amp;"-"&amp;B23&amp;"-"</f>
        <v>FSL R9-5272-LabID_MXXXX_YYMMDD-</v>
      </c>
      <c r="B23" t="str">
        <f>IF(LEN('Initial dilution'!$B12)&gt;0, 'Initial dilution'!$C$3,"")</f>
        <v>LabID_MXXXX_YYMMDD</v>
      </c>
      <c r="C23" t="str">
        <f>IF(LEN('Initial dilution'!$B12)&gt;0, 'Initial dilution'!$A12,"")</f>
        <v>C01</v>
      </c>
      <c r="D23" t="str">
        <f>IF(OR(LEN('Initial dilution'!$B12)=0, LEN('Initial dilution'!$E12)=0), "", IF(LEFT(RIGHT('Initial dilution'!$E12,3),1)="7",'Initial dilution'!$E12,'Initial dilution'!$F18))</f>
        <v>N703</v>
      </c>
      <c r="E23" t="str">
        <f>IF(LEN(D23)=0,"",VLOOKUP(D23, Indices!$A:$B, 2, FALSE))</f>
        <v>AGGCAGAA</v>
      </c>
      <c r="F23" t="str">
        <f>IF(OR(LEN('Initial dilution'!$B12)=0, LEN('Initial dilution'!$F12)=0), "", IF(LEFT(RIGHT('Initial dilution'!$F12,3),1)="5",'Initial dilution'!$F12,'Initial dilution'!$E12))</f>
        <v>S517</v>
      </c>
      <c r="G23" t="str">
        <f>IF(LEN(F23)=0,"",VLOOKUP(F23, Indices!$A:$B, 2, FALSE))</f>
        <v>GCGTAAGA</v>
      </c>
      <c r="H23">
        <f>IF(LEN('Initial dilution'!$B12)&gt;0, 'Initial dilution'!$C12,"")</f>
        <v>0</v>
      </c>
      <c r="I23" t="str">
        <f>IF(LEN('Initial dilution'!$B12)=0, "", "Species=" &amp; SUBSTITUTE(SUBSTITUTE('Initial dilution'!$D12, ",", "_"), " ", "_")) &amp; IF(LEN('Initial dilution'!$B12)=0, "", ";ExpectedGenomeSize=" &amp; VLOOKUP('Initial dilution'!$B12, 'Initial dilution'!$B:$I, 7, FALSE))</f>
        <v>Species=Salmonella_enterica_Enteriditis;ExpectedGenomeSize=5.4</v>
      </c>
    </row>
    <row r="24" spans="1:9">
      <c r="A24" t="str">
        <f>IF(LEN('Initial dilution'!$B13)&gt;0,'Initial dilution'!$B13,"")&amp;"-"&amp;B24&amp;"-"</f>
        <v>FSL R9-5273-LabID_MXXXX_YYMMDD-</v>
      </c>
      <c r="B24" t="str">
        <f>IF(LEN('Initial dilution'!$B13)&gt;0, 'Initial dilution'!$C$3,"")</f>
        <v>LabID_MXXXX_YYMMDD</v>
      </c>
      <c r="C24" t="str">
        <f>IF(LEN('Initial dilution'!$B13)&gt;0, 'Initial dilution'!$A13,"")</f>
        <v>D01</v>
      </c>
      <c r="D24" t="str">
        <f>IF(OR(LEN('Initial dilution'!$B13)=0, LEN('Initial dilution'!$E13)=0), "", IF(LEFT(RIGHT('Initial dilution'!$E13,3),1)="7",'Initial dilution'!$E13,'Initial dilution'!$F22))</f>
        <v>N704</v>
      </c>
      <c r="E24" t="str">
        <f>IF(LEN(D24)=0,"",VLOOKUP(D24, Indices!$A:$B, 2, FALSE))</f>
        <v>TCCTGAGC</v>
      </c>
      <c r="F24" t="str">
        <f>IF(OR(LEN('Initial dilution'!$B13)=0, LEN('Initial dilution'!$F13)=0), "", IF(LEFT(RIGHT('Initial dilution'!$F13,3),1)="5",'Initial dilution'!$F13,'Initial dilution'!$E13))</f>
        <v>S517</v>
      </c>
      <c r="G24" t="str">
        <f>IF(LEN(F24)=0,"",VLOOKUP(F24, Indices!$A:$B, 2, FALSE))</f>
        <v>GCGTAAGA</v>
      </c>
      <c r="H24">
        <f>IF(LEN('Initial dilution'!$B13)&gt;0, 'Initial dilution'!$C13,"")</f>
        <v>0</v>
      </c>
      <c r="I24" t="str">
        <f>IF(LEN('Initial dilution'!$B13)=0, "", "Species=" &amp; SUBSTITUTE(SUBSTITUTE('Initial dilution'!$D13, ",", "_"), " ", "_")) &amp; IF(LEN('Initial dilution'!$B13)=0, "", ";ExpectedGenomeSize=" &amp; VLOOKUP('Initial dilution'!$B13, 'Initial dilution'!$B:$I, 7, FALSE))</f>
        <v>Species=Salmonella_enterica_Javiana;ExpectedGenomeSize=5.4</v>
      </c>
    </row>
    <row r="25" spans="1:9">
      <c r="A25" t="str">
        <f>IF(LEN('Initial dilution'!$B14)&gt;0,'Initial dilution'!$B14,"")&amp;"-"&amp;B25&amp;"-"</f>
        <v>FSL R9-5512-LabID_MXXXX_YYMMDD-</v>
      </c>
      <c r="B25" t="str">
        <f>IF(LEN('Initial dilution'!$B14)&gt;0, 'Initial dilution'!$C$3,"")</f>
        <v>LabID_MXXXX_YYMMDD</v>
      </c>
      <c r="C25" t="str">
        <f>IF(LEN('Initial dilution'!$B14)&gt;0, 'Initial dilution'!$A14,"")</f>
        <v>E01</v>
      </c>
      <c r="D25" t="str">
        <f>IF(OR(LEN('Initial dilution'!$B14)=0, LEN('Initial dilution'!$E14)=0), "", IF(LEFT(RIGHT('Initial dilution'!$E14,3),1)="7",'Initial dilution'!$E14,'Initial dilution'!#REF!))</f>
        <v>N705</v>
      </c>
      <c r="E25" t="str">
        <f>IF(LEN(D25)=0,"",VLOOKUP(D25, Indices!$A:$B, 2, FALSE))</f>
        <v>GGACTCCT</v>
      </c>
      <c r="F25" t="str">
        <f>IF(OR(LEN('Initial dilution'!$B14)=0, LEN('Initial dilution'!$F14)=0), "", IF(LEFT(RIGHT('Initial dilution'!$F14,3),1)="5",'Initial dilution'!$F14,'Initial dilution'!$E14))</f>
        <v>S517</v>
      </c>
      <c r="G25" t="str">
        <f>IF(LEN(F25)=0,"",VLOOKUP(F25, Indices!$A:$B, 2, FALSE))</f>
        <v>GCGTAAGA</v>
      </c>
      <c r="H25">
        <f>IF(LEN('Initial dilution'!$B14)&gt;0, 'Initial dilution'!$C14,"")</f>
        <v>0</v>
      </c>
      <c r="I25" t="str">
        <f>IF(LEN('Initial dilution'!$B14)=0, "", "Species=" &amp; SUBSTITUTE(SUBSTITUTE('Initial dilution'!$D14, ",", "_"), " ", "_")) &amp; IF(LEN('Initial dilution'!$B14)=0, "", ";ExpectedGenomeSize=" &amp; VLOOKUP('Initial dilution'!$B14, 'Initial dilution'!$B:$I, 7, FALSE))</f>
        <v>Species=Escherichia_coli_O26:H11;ExpectedGenomeSize=5.5</v>
      </c>
    </row>
    <row r="26" spans="1:9">
      <c r="A26" t="str">
        <f>IF(LEN('Initial dilution'!$B15)&gt;0,'Initial dilution'!$B15,"")&amp;"-"&amp;B26&amp;"-"</f>
        <v>FSL S5-395 WT-LabID_MXXXX_YYMMDD-</v>
      </c>
      <c r="B26" t="str">
        <f>IF(LEN('Initial dilution'!$B15)&gt;0, 'Initial dilution'!$C$3,"")</f>
        <v>LabID_MXXXX_YYMMDD</v>
      </c>
      <c r="C26" t="str">
        <f>IF(LEN('Initial dilution'!$B15)&gt;0, 'Initial dilution'!$A15,"")</f>
        <v>F01</v>
      </c>
      <c r="D26" t="str">
        <f>IF(OR(LEN('Initial dilution'!$B15)=0, LEN('Initial dilution'!$E15)=0), "", IF(LEFT(RIGHT('Initial dilution'!$E15,3),1)="7",'Initial dilution'!$E15,'Initial dilution'!#REF!))</f>
        <v>N706</v>
      </c>
      <c r="E26" t="str">
        <f>IF(LEN(D26)=0,"",VLOOKUP(D26, Indices!$A:$B, 2, FALSE))</f>
        <v>TAGGCATG</v>
      </c>
      <c r="F26" t="str">
        <f>IF(OR(LEN('Initial dilution'!$B15)=0, LEN('Initial dilution'!$F15)=0), "", IF(LEFT(RIGHT('Initial dilution'!$F15,3),1)="5",'Initial dilution'!$F15,'Initial dilution'!$E15))</f>
        <v>S517</v>
      </c>
      <c r="G26" t="str">
        <f>IF(LEN(F26)=0,"",VLOOKUP(F26, Indices!$A:$B, 2, FALSE))</f>
        <v>GCGTAAGA</v>
      </c>
      <c r="H26">
        <f>IF(LEN('Initial dilution'!$B15)&gt;0, 'Initial dilution'!$C15,"")</f>
        <v>0</v>
      </c>
      <c r="I26" t="str">
        <f>IF(LEN('Initial dilution'!$B15)=0, "", "Species=" &amp; SUBSTITUTE(SUBSTITUTE('Initial dilution'!$D15, ",", "_"), " ", "_")) &amp; IF(LEN('Initial dilution'!$B15)=0, "", ";ExpectedGenomeSize=" &amp; VLOOKUP('Initial dilution'!$B15, 'Initial dilution'!$B:$I, 7, FALSE))</f>
        <v>Species=Salmonella_enterica;ExpectedGenomeSize=5.4</v>
      </c>
    </row>
    <row r="27" spans="1:9">
      <c r="A27" t="str">
        <f>IF(LEN('Initial dilution'!$B16)&gt;0,'Initial dilution'!$B16,"")&amp;"-"&amp;B27&amp;"-"</f>
        <v>FSL R9-5400-LabID_MXXXX_YYMMDD-</v>
      </c>
      <c r="B27" t="str">
        <f>IF(LEN('Initial dilution'!$B16)&gt;0, 'Initial dilution'!$C$3,"")</f>
        <v>LabID_MXXXX_YYMMDD</v>
      </c>
      <c r="C27" t="str">
        <f>IF(LEN('Initial dilution'!$B16)&gt;0, 'Initial dilution'!$A16,"")</f>
        <v>G01</v>
      </c>
      <c r="D27" t="str">
        <f>IF(OR(LEN('Initial dilution'!$B16)=0, LEN('Initial dilution'!$E16)=0), "", IF(LEFT(RIGHT('Initial dilution'!$E16,3),1)="7",'Initial dilution'!$E16,'Initial dilution'!#REF!))</f>
        <v>N707</v>
      </c>
      <c r="E27" t="str">
        <f>IF(LEN(D27)=0,"",VLOOKUP(D27, Indices!$A:$B, 2, FALSE))</f>
        <v>CTCTCTAC</v>
      </c>
      <c r="F27" t="str">
        <f>IF(OR(LEN('Initial dilution'!$B16)=0, LEN('Initial dilution'!$F16)=0), "", IF(LEFT(RIGHT('Initial dilution'!$F16,3),1)="5",'Initial dilution'!$F16,'Initial dilution'!$E16))</f>
        <v>S517</v>
      </c>
      <c r="G27" t="str">
        <f>IF(LEN(F27)=0,"",VLOOKUP(F27, Indices!$A:$B, 2, FALSE))</f>
        <v>GCGTAAGA</v>
      </c>
      <c r="H27">
        <f>IF(LEN('Initial dilution'!$B16)&gt;0, 'Initial dilution'!$C16,"")</f>
        <v>0</v>
      </c>
      <c r="I27" t="str">
        <f>IF(LEN('Initial dilution'!$B16)=0, "", "Species=" &amp; SUBSTITUTE(SUBSTITUTE('Initial dilution'!$D16, ",", "_"), " ", "_")) &amp; IF(LEN('Initial dilution'!$B16)=0, "", ";ExpectedGenomeSize=" &amp; VLOOKUP('Initial dilution'!$B16, 'Initial dilution'!$B:$I, 7, FALSE))</f>
        <v>Species=Salmonella_enterica_Saintpaul;ExpectedGenomeSize=5.4</v>
      </c>
    </row>
    <row r="28" spans="1:9">
      <c r="A28" t="str">
        <f>IF(LEN('Initial dilution'!$B17)&gt;0,'Initial dilution'!$B17,"")&amp;"-"&amp;B28&amp;"-"</f>
        <v>FSL R9-5402-LabID_MXXXX_YYMMDD-</v>
      </c>
      <c r="B28" t="str">
        <f>IF(LEN('Initial dilution'!$B17)&gt;0, 'Initial dilution'!$C$3,"")</f>
        <v>LabID_MXXXX_YYMMDD</v>
      </c>
      <c r="C28" t="str">
        <f>IF(LEN('Initial dilution'!$B17)&gt;0, 'Initial dilution'!$A17,"")</f>
        <v>H01</v>
      </c>
      <c r="D28" t="str">
        <f>IF(OR(LEN('Initial dilution'!$B17)=0, LEN('Initial dilution'!$E17)=0), "", IF(LEFT(RIGHT('Initial dilution'!$E17,3),1)="7",'Initial dilution'!$E17,'Initial dilution'!#REF!))</f>
        <v>N708</v>
      </c>
      <c r="E28" t="str">
        <f>IF(LEN(D28)=0,"",VLOOKUP(D28, Indices!$A:$B, 2, FALSE))</f>
        <v>CAGAGAGG</v>
      </c>
      <c r="F28" t="str">
        <f>IF(OR(LEN('Initial dilution'!$B17)=0, LEN('Initial dilution'!$F17)=0), "", IF(LEFT(RIGHT('Initial dilution'!$F17,3),1)="5",'Initial dilution'!$F17,'Initial dilution'!$E17))</f>
        <v>S517</v>
      </c>
      <c r="G28" t="str">
        <f>IF(LEN(F28)=0,"",VLOOKUP(F28, Indices!$A:$B, 2, FALSE))</f>
        <v>GCGTAAGA</v>
      </c>
      <c r="H28">
        <f>IF(LEN('Initial dilution'!$B17)&gt;0, 'Initial dilution'!$C17,"")</f>
        <v>0</v>
      </c>
      <c r="I28" t="str">
        <f>IF(LEN('Initial dilution'!$B17)=0, "", "Species=" &amp; SUBSTITUTE(SUBSTITUTE('Initial dilution'!$D17, ",", "_"), " ", "_")) &amp; IF(LEN('Initial dilution'!$B17)=0, "", ";ExpectedGenomeSize=" &amp; VLOOKUP('Initial dilution'!$B17, 'Initial dilution'!$B:$I, 7, FALSE))</f>
        <v>Species=Salmonella_enterica_Tennessee;ExpectedGenomeSize=5.4</v>
      </c>
    </row>
    <row r="29" spans="1:9">
      <c r="A29" t="str">
        <f>IF(LEN('Initial dilution'!$B18)&gt;0,'Initial dilution'!$B18,"")&amp;"-"&amp;B29&amp;"-"</f>
        <v>FSL R9-5409-LabID_MXXXX_YYMMDD-</v>
      </c>
      <c r="B29" t="str">
        <f>IF(LEN('Initial dilution'!$B18)&gt;0, 'Initial dilution'!$C$3,"")</f>
        <v>LabID_MXXXX_YYMMDD</v>
      </c>
      <c r="C29" t="str">
        <f>IF(LEN('Initial dilution'!$B18)&gt;0, 'Initial dilution'!$A18,"")</f>
        <v>A02</v>
      </c>
      <c r="D29" t="str">
        <f>IF(OR(LEN('Initial dilution'!$B18)=0, LEN('Initial dilution'!$E18)=0), "", IF(LEFT(RIGHT('Initial dilution'!$E18,3),1)="7",'Initial dilution'!$E18,'Initial dilution'!#REF!))</f>
        <v>N701</v>
      </c>
      <c r="E29" t="str">
        <f>IF(LEN(D29)=0,"",VLOOKUP(D29, Indices!$A:$B, 2, FALSE))</f>
        <v>TAAGGCGA</v>
      </c>
      <c r="F29" t="str">
        <f>IF(OR(LEN('Initial dilution'!$B18)=0, LEN('Initial dilution'!$F18)=0), "", IF(LEFT(RIGHT('Initial dilution'!$F18,3),1)="5",'Initial dilution'!$F18,'Initial dilution'!$E18))</f>
        <v>S502</v>
      </c>
      <c r="G29" t="str">
        <f>IF(LEN(F29)=0,"",VLOOKUP(F29, Indices!$A:$B, 2, FALSE))</f>
        <v>CTCTCTAT</v>
      </c>
      <c r="H29">
        <f>IF(LEN('Initial dilution'!$B18)&gt;0, 'Initial dilution'!$C18,"")</f>
        <v>0</v>
      </c>
      <c r="I29" t="str">
        <f>IF(LEN('Initial dilution'!$B18)=0, "", "Species=" &amp; SUBSTITUTE(SUBSTITUTE('Initial dilution'!$D18, ",", "_"), " ", "_")) &amp; IF(LEN('Initial dilution'!$B18)=0, "", ";ExpectedGenomeSize=" &amp; VLOOKUP('Initial dilution'!$B18, 'Initial dilution'!$B:$I, 7, FALSE))</f>
        <v>Species=Salmonella_enterica_Typhimirium;ExpectedGenomeSize=5.4</v>
      </c>
    </row>
    <row r="30" spans="1:9">
      <c r="A30" t="str">
        <f>IF(LEN('Initial dilution'!$B19)&gt;0,'Initial dilution'!$B19,"")&amp;"-"&amp;B30&amp;"-"</f>
        <v>FSL R9-5494-LabID_MXXXX_YYMMDD-</v>
      </c>
      <c r="B30" t="str">
        <f>IF(LEN('Initial dilution'!$B19)&gt;0, 'Initial dilution'!$C$3,"")</f>
        <v>LabID_MXXXX_YYMMDD</v>
      </c>
      <c r="C30" t="str">
        <f>IF(LEN('Initial dilution'!$B19)&gt;0, 'Initial dilution'!$A19,"")</f>
        <v>B02</v>
      </c>
      <c r="D30" t="str">
        <f>IF(OR(LEN('Initial dilution'!$B19)=0, LEN('Initial dilution'!$E19)=0), "", IF(LEFT(RIGHT('Initial dilution'!$E19,3),1)="7",'Initial dilution'!$E19,'Initial dilution'!#REF!))</f>
        <v>N702</v>
      </c>
      <c r="E30" t="str">
        <f>IF(LEN(D30)=0,"",VLOOKUP(D30, Indices!$A:$B, 2, FALSE))</f>
        <v>CGTACTAG</v>
      </c>
      <c r="F30" t="str">
        <f>IF(OR(LEN('Initial dilution'!$B19)=0, LEN('Initial dilution'!$F19)=0), "", IF(LEFT(RIGHT('Initial dilution'!$F19,3),1)="5",'Initial dilution'!$F19,'Initial dilution'!$E19))</f>
        <v>S502</v>
      </c>
      <c r="G30" t="str">
        <f>IF(LEN(F30)=0,"",VLOOKUP(F30, Indices!$A:$B, 2, FALSE))</f>
        <v>CTCTCTAT</v>
      </c>
      <c r="H30">
        <f>IF(LEN('Initial dilution'!$B19)&gt;0, 'Initial dilution'!$C19,"")</f>
        <v>0</v>
      </c>
      <c r="I30" t="str">
        <f>IF(LEN('Initial dilution'!$B19)=0, "", "Species=" &amp; SUBSTITUTE(SUBSTITUTE('Initial dilution'!$D19, ",", "_"), " ", "_")) &amp; IF(LEN('Initial dilution'!$B19)=0, "", ";ExpectedGenomeSize=" &amp; VLOOKUP('Initial dilution'!$B19, 'Initial dilution'!$B:$I, 7, FALSE))</f>
        <v>Species=Salmonella_enterica_Typhimirium;ExpectedGenomeSize=5.4</v>
      </c>
    </row>
    <row r="31" spans="1:9">
      <c r="A31" t="str">
        <f>IF(LEN('Initial dilution'!$B20)&gt;0,'Initial dilution'!$B20,"")&amp;"-"&amp;B31&amp;"-"</f>
        <v>FSL R9-5496-LabID_MXXXX_YYMMDD-</v>
      </c>
      <c r="B31" t="str">
        <f>IF(LEN('Initial dilution'!$B20)&gt;0, 'Initial dilution'!$C$3,"")</f>
        <v>LabID_MXXXX_YYMMDD</v>
      </c>
      <c r="C31" t="str">
        <f>IF(LEN('Initial dilution'!$B20)&gt;0, 'Initial dilution'!$A20,"")</f>
        <v>C02</v>
      </c>
      <c r="D31" t="str">
        <f>IF(OR(LEN('Initial dilution'!$B20)=0, LEN('Initial dilution'!$E20)=0), "", IF(LEFT(RIGHT('Initial dilution'!$E20,3),1)="7",'Initial dilution'!$E20,'Initial dilution'!#REF!))</f>
        <v>N703</v>
      </c>
      <c r="E31" t="str">
        <f>IF(LEN(D31)=0,"",VLOOKUP(D31, Indices!$A:$B, 2, FALSE))</f>
        <v>AGGCAGAA</v>
      </c>
      <c r="F31" t="str">
        <f>IF(OR(LEN('Initial dilution'!$B20)=0, LEN('Initial dilution'!$F20)=0), "", IF(LEFT(RIGHT('Initial dilution'!$F20,3),1)="5",'Initial dilution'!$F20,'Initial dilution'!$E20))</f>
        <v>S502</v>
      </c>
      <c r="G31" t="str">
        <f>IF(LEN(F31)=0,"",VLOOKUP(F31, Indices!$A:$B, 2, FALSE))</f>
        <v>CTCTCTAT</v>
      </c>
      <c r="H31">
        <f>IF(LEN('Initial dilution'!$B20)&gt;0, 'Initial dilution'!$C20,"")</f>
        <v>0</v>
      </c>
      <c r="I31" t="str">
        <f>IF(LEN('Initial dilution'!$B20)=0, "", "Species=" &amp; SUBSTITUTE(SUBSTITUTE('Initial dilution'!$D20, ",", "_"), " ", "_")) &amp; IF(LEN('Initial dilution'!$B20)=0, "", ";ExpectedGenomeSize=" &amp; VLOOKUP('Initial dilution'!$B20, 'Initial dilution'!$B:$I, 7, FALSE))</f>
        <v>Species=Salmonella_enterica_I_4_[5]_12:i:-;ExpectedGenomeSize=5.4</v>
      </c>
    </row>
    <row r="32" spans="1:9">
      <c r="A32" t="str">
        <f>IF(LEN('Initial dilution'!$B21)&gt;0,'Initial dilution'!$B21,"")&amp;"-"&amp;B32&amp;"-"</f>
        <v>FSL R9-5497-LabID_MXXXX_YYMMDD-</v>
      </c>
      <c r="B32" t="str">
        <f>IF(LEN('Initial dilution'!$B21)&gt;0, 'Initial dilution'!$C$3,"")</f>
        <v>LabID_MXXXX_YYMMDD</v>
      </c>
      <c r="C32" t="str">
        <f>IF(LEN('Initial dilution'!$B21)&gt;0, 'Initial dilution'!$A21,"")</f>
        <v>D02</v>
      </c>
      <c r="D32" t="str">
        <f>IF(OR(LEN('Initial dilution'!$B21)=0, LEN('Initial dilution'!$E21)=0), "", IF(LEFT(RIGHT('Initial dilution'!$E21,3),1)="7",'Initial dilution'!$E21,'Initial dilution'!#REF!))</f>
        <v>N704</v>
      </c>
      <c r="E32" t="str">
        <f>IF(LEN(D32)=0,"",VLOOKUP(D32, Indices!$A:$B, 2, FALSE))</f>
        <v>TCCTGAGC</v>
      </c>
      <c r="F32" t="str">
        <f>IF(OR(LEN('Initial dilution'!$B21)=0, LEN('Initial dilution'!$F21)=0), "", IF(LEFT(RIGHT('Initial dilution'!$F21,3),1)="5",'Initial dilution'!$F21,'Initial dilution'!$E21))</f>
        <v>S502</v>
      </c>
      <c r="G32" t="str">
        <f>IF(LEN(F32)=0,"",VLOOKUP(F32, Indices!$A:$B, 2, FALSE))</f>
        <v>CTCTCTAT</v>
      </c>
      <c r="H32">
        <f>IF(LEN('Initial dilution'!$B21)&gt;0, 'Initial dilution'!$C21,"")</f>
        <v>0</v>
      </c>
      <c r="I32" t="str">
        <f>IF(LEN('Initial dilution'!$B21)=0, "", "Species=" &amp; SUBSTITUTE(SUBSTITUTE('Initial dilution'!$D21, ",", "_"), " ", "_")) &amp; IF(LEN('Initial dilution'!$B21)=0, "", ";ExpectedGenomeSize=" &amp; VLOOKUP('Initial dilution'!$B21, 'Initial dilution'!$B:$I, 7, FALSE))</f>
        <v>Species=Salmonella_enterica_Infantis;ExpectedGenomeSize=5.4</v>
      </c>
    </row>
    <row r="33" spans="1:9">
      <c r="A33" t="str">
        <f>IF(LEN('Initial dilution'!$B22)&gt;0,'Initial dilution'!$B22,"")&amp;"-"&amp;B33&amp;"-"</f>
        <v>FSL R9-5498-LabID_MXXXX_YYMMDD-</v>
      </c>
      <c r="B33" t="str">
        <f>IF(LEN('Initial dilution'!$B22)&gt;0, 'Initial dilution'!$C$3,"")</f>
        <v>LabID_MXXXX_YYMMDD</v>
      </c>
      <c r="C33" t="str">
        <f>IF(LEN('Initial dilution'!$B22)&gt;0, 'Initial dilution'!$A22,"")</f>
        <v>E02</v>
      </c>
      <c r="D33" t="str">
        <f>IF(OR(LEN('Initial dilution'!$B22)=0, LEN('Initial dilution'!$E22)=0), "", IF(LEFT(RIGHT('Initial dilution'!$E22,3),1)="7",'Initial dilution'!$E22,'Initial dilution'!#REF!))</f>
        <v>N705</v>
      </c>
      <c r="E33" t="str">
        <f>IF(LEN(D33)=0,"",VLOOKUP(D33, Indices!$A:$B, 2, FALSE))</f>
        <v>GGACTCCT</v>
      </c>
      <c r="F33" t="str">
        <f>IF(OR(LEN('Initial dilution'!$B22)=0, LEN('Initial dilution'!$F22)=0), "", IF(LEFT(RIGHT('Initial dilution'!$F22,3),1)="5",'Initial dilution'!$F22,'Initial dilution'!$E22))</f>
        <v>S502</v>
      </c>
      <c r="G33" t="str">
        <f>IF(LEN(F33)=0,"",VLOOKUP(F33, Indices!$A:$B, 2, FALSE))</f>
        <v>CTCTCTAT</v>
      </c>
      <c r="H33">
        <f>IF(LEN('Initial dilution'!$B22)&gt;0, 'Initial dilution'!$C22,"")</f>
        <v>0</v>
      </c>
      <c r="I33" t="str">
        <f>IF(LEN('Initial dilution'!$B22)=0, "", "Species=" &amp; SUBSTITUTE(SUBSTITUTE('Initial dilution'!$D22, ",", "_"), " ", "_")) &amp; IF(LEN('Initial dilution'!$B22)=0, "", ";ExpectedGenomeSize=" &amp; VLOOKUP('Initial dilution'!$B22, 'Initial dilution'!$B:$I, 7, FALSE))</f>
        <v>Species=Salmonella_enterica_Muenchen;ExpectedGenomeSize=5.4</v>
      </c>
    </row>
    <row r="34" spans="1:9">
      <c r="A34" t="str">
        <f>IF(LEN('Initial dilution'!$B23)&gt;0,'Initial dilution'!$B23,"")&amp;"-"&amp;B34&amp;"-"</f>
        <v>FSL R9-5499-LabID_MXXXX_YYMMDD-</v>
      </c>
      <c r="B34" t="str">
        <f>IF(LEN('Initial dilution'!$B23)&gt;0, 'Initial dilution'!$C$3,"")</f>
        <v>LabID_MXXXX_YYMMDD</v>
      </c>
      <c r="C34" t="str">
        <f>IF(LEN('Initial dilution'!$B23)&gt;0, 'Initial dilution'!$A23,"")</f>
        <v>F02</v>
      </c>
      <c r="D34" t="str">
        <f>IF(OR(LEN('Initial dilution'!$B23)=0, LEN('Initial dilution'!$E23)=0), "", IF(LEFT(RIGHT('Initial dilution'!$E23,3),1)="7",'Initial dilution'!$E23,'Initial dilution'!#REF!))</f>
        <v>N706</v>
      </c>
      <c r="E34" t="str">
        <f>IF(LEN(D34)=0,"",VLOOKUP(D34, Indices!$A:$B, 2, FALSE))</f>
        <v>TAGGCATG</v>
      </c>
      <c r="F34" t="str">
        <f>IF(OR(LEN('Initial dilution'!$B23)=0, LEN('Initial dilution'!$F23)=0), "", IF(LEFT(RIGHT('Initial dilution'!$F23,3),1)="5",'Initial dilution'!$F23,'Initial dilution'!$E23))</f>
        <v>S502</v>
      </c>
      <c r="G34" t="str">
        <f>IF(LEN(F34)=0,"",VLOOKUP(F34, Indices!$A:$B, 2, FALSE))</f>
        <v>CTCTCTAT</v>
      </c>
      <c r="H34">
        <f>IF(LEN('Initial dilution'!$B23)&gt;0, 'Initial dilution'!$C23,"")</f>
        <v>0</v>
      </c>
      <c r="I34" t="str">
        <f>IF(LEN('Initial dilution'!$B23)=0, "", "Species=" &amp; SUBSTITUTE(SUBSTITUTE('Initial dilution'!$D23, ",", "_"), " ", "_")) &amp; IF(LEN('Initial dilution'!$B23)=0, "", ";ExpectedGenomeSize=" &amp; VLOOKUP('Initial dilution'!$B23, 'Initial dilution'!$B:$I, 7, FALSE))</f>
        <v>Species=Salmonella_enterica_I_13_23:b:-;ExpectedGenomeSize=5.4</v>
      </c>
    </row>
    <row r="35" spans="1:9">
      <c r="A35" t="str">
        <f>IF(LEN('Initial dilution'!$B24)&gt;0,'Initial dilution'!$B24,"")&amp;"-"&amp;B35&amp;"-"</f>
        <v>FSL S5-395 ∆phoN-LabID_MXXXX_YYMMDD-</v>
      </c>
      <c r="B35" t="str">
        <f>IF(LEN('Initial dilution'!$B24)&gt;0, 'Initial dilution'!$C$3,"")</f>
        <v>LabID_MXXXX_YYMMDD</v>
      </c>
      <c r="C35" t="str">
        <f>IF(LEN('Initial dilution'!$B24)&gt;0, 'Initial dilution'!$A24,"")</f>
        <v>G02</v>
      </c>
      <c r="D35" t="str">
        <f>IF(OR(LEN('Initial dilution'!$B24)=0, LEN('Initial dilution'!$E24)=0), "", IF(LEFT(RIGHT('Initial dilution'!$E24,3),1)="7",'Initial dilution'!$E24,'Initial dilution'!#REF!))</f>
        <v>N707</v>
      </c>
      <c r="E35" t="str">
        <f>IF(LEN(D35)=0,"",VLOOKUP(D35, Indices!$A:$B, 2, FALSE))</f>
        <v>CTCTCTAC</v>
      </c>
      <c r="F35" t="str">
        <f>IF(OR(LEN('Initial dilution'!$B24)=0, LEN('Initial dilution'!$F24)=0), "", IF(LEFT(RIGHT('Initial dilution'!$F24,3),1)="5",'Initial dilution'!$F24,'Initial dilution'!$E24))</f>
        <v>S502</v>
      </c>
      <c r="G35" t="str">
        <f>IF(LEN(F35)=0,"",VLOOKUP(F35, Indices!$A:$B, 2, FALSE))</f>
        <v>CTCTCTAT</v>
      </c>
      <c r="H35">
        <f>IF(LEN('Initial dilution'!$B24)&gt;0, 'Initial dilution'!$C24,"")</f>
        <v>0</v>
      </c>
      <c r="I35" t="str">
        <f>IF(LEN('Initial dilution'!$B24)=0, "", "Species=" &amp; SUBSTITUTE(SUBSTITUTE('Initial dilution'!$D24, ",", "_"), " ", "_")) &amp; IF(LEN('Initial dilution'!$B24)=0, "", ";ExpectedGenomeSize=" &amp; VLOOKUP('Initial dilution'!$B24, 'Initial dilution'!$B:$I, 7, FALSE))</f>
        <v>Species=Salmonella_enterica;ExpectedGenomeSize=5.4</v>
      </c>
    </row>
    <row r="36" spans="1:9">
      <c r="A36" t="str">
        <f>IF(LEN('Initial dilution'!$B25)&gt;0,'Initial dilution'!$B25,"")&amp;"-"&amp;B36&amp;"-"</f>
        <v>FSL R2-503-LabID_MXXXX_YYMMDD-</v>
      </c>
      <c r="B36" s="137" t="str">
        <f>IF(LEN('Initial dilution'!$B25)&gt;0, 'Initial dilution'!$C$3,"")</f>
        <v>LabID_MXXXX_YYMMDD</v>
      </c>
      <c r="C36" s="137" t="str">
        <f>IF(LEN('Initial dilution'!$B25)&gt;0, 'Initial dilution'!$A25,"")</f>
        <v>H02</v>
      </c>
      <c r="D36" s="137" t="str">
        <f>IF(OR(LEN('Initial dilution'!$B25)=0, LEN('Initial dilution'!$E25)=0), "", IF(LEFT(RIGHT('Initial dilution'!$E25,3),1)="7",'Initial dilution'!$E25,'Initial dilution'!#REF!))</f>
        <v>N708</v>
      </c>
      <c r="E36" s="137" t="str">
        <f>IF(LEN(D36)=0,"",VLOOKUP(D36, Indices!$A:$B, 2, FALSE))</f>
        <v>CAGAGAGG</v>
      </c>
      <c r="F36" s="137" t="str">
        <f>IF(OR(LEN('Initial dilution'!$B25)=0, LEN('Initial dilution'!$F25)=0), "", IF(LEFT(RIGHT('Initial dilution'!$F25,3),1)="5",'Initial dilution'!$F25,'Initial dilution'!$E25))</f>
        <v>S502</v>
      </c>
      <c r="G36" s="137" t="str">
        <f>IF(LEN(F36)=0,"",VLOOKUP(F36, Indices!$A:$B, 2, FALSE))</f>
        <v>CTCTCTAT</v>
      </c>
      <c r="H36" s="137">
        <f>IF(LEN('Initial dilution'!$B25)&gt;0, 'Initial dilution'!$C25,"")</f>
        <v>0</v>
      </c>
      <c r="I36" s="137" t="str">
        <f>IF(LEN('Initial dilution'!$B25)=0, "", "Species=" &amp; SUBSTITUTE(SUBSTITUTE('Initial dilution'!$D25, ",", "_"), " ", "_")) &amp; IF(LEN('Initial dilution'!$B25)=0, "", ";ExpectedGenomeSize=" &amp; VLOOKUP('Initial dilution'!$B25, 'Initial dilution'!$B:$I, 7, FALSE))</f>
        <v>Species=Listeria_monocytogenes_[I]1/2b;ExpectedGenomeSize=3</v>
      </c>
    </row>
    <row r="37" spans="1:9">
      <c r="A37" t="str">
        <f>IF(LEN('Initial dilution'!$B26)&gt;0,'Initial dilution'!$B26,"")&amp;"-"&amp;B37&amp;"-"</f>
        <v>--</v>
      </c>
      <c r="B37" t="str">
        <f>IF(LEN('Initial dilution'!$B26)&gt;0, 'Initial dilution'!$C$3,"")</f>
        <v/>
      </c>
      <c r="C37" t="str">
        <f>IF(LEN('Initial dilution'!$B26)&gt;0, 'Initial dilution'!$A26,"")</f>
        <v/>
      </c>
      <c r="D37" t="str">
        <f>IF(OR(LEN('Initial dilution'!$B26)=0, LEN('Initial dilution'!$E26)=0), "", IF(LEFT(RIGHT('Initial dilution'!$E26,3),1)="7",'Initial dilution'!$E26,'Initial dilution'!#REF!))</f>
        <v/>
      </c>
      <c r="E37" t="str">
        <f>IF(LEN(D37)=0,"",VLOOKUP(D37, Indices!$A:$B, 2, FALSE))</f>
        <v/>
      </c>
      <c r="F37" t="str">
        <f>IF(OR(LEN('Initial dilution'!$B26)=0, LEN('Initial dilution'!$F26)=0), "", IF(LEFT(RIGHT('Initial dilution'!$F26,3),1)="5",'Initial dilution'!$F26,'Initial dilution'!$E26))</f>
        <v/>
      </c>
      <c r="G37" t="str">
        <f>IF(LEN(F37)=0,"",VLOOKUP(F37, Indices!$A:$B, 2, FALSE))</f>
        <v/>
      </c>
      <c r="H37" t="str">
        <f>IF(LEN('Initial dilution'!$B26)&gt;0, 'Initial dilution'!$C26,"")</f>
        <v/>
      </c>
      <c r="I37" t="str">
        <f>IF(LEN('Initial dilution'!$B26)=0, "", "Species=" &amp; SUBSTITUTE(SUBSTITUTE('Initial dilution'!$D26, ",", "_"), " ", "_")) &amp; IF(LEN('Initial dilution'!$B26)=0, "", ";ExpectedGenomeSize=" &amp; VLOOKUP('Initial dilution'!$B26, 'Initial dilution'!$B:$I, 7, FALSE))</f>
        <v/>
      </c>
    </row>
    <row r="38" spans="1:9">
      <c r="A38" t="str">
        <f>IF(LEN('Initial dilution'!$B27)&gt;0,'Initial dilution'!$B27,"")&amp;"-"&amp;B38&amp;"-"</f>
        <v>--</v>
      </c>
      <c r="B38" t="str">
        <f>IF(LEN('Initial dilution'!$B27)&gt;0, 'Initial dilution'!$C$3,"")</f>
        <v/>
      </c>
      <c r="C38" t="str">
        <f>IF(LEN('Initial dilution'!$B27)&gt;0, 'Initial dilution'!$A27,"")</f>
        <v/>
      </c>
      <c r="D38" t="str">
        <f>IF(OR(LEN('Initial dilution'!$B27)=0, LEN('Initial dilution'!$E27)=0), "", IF(LEFT(RIGHT('Initial dilution'!$E27,3),1)="7",'Initial dilution'!$E27,'Initial dilution'!#REF!))</f>
        <v/>
      </c>
      <c r="E38" t="str">
        <f>IF(LEN(D38)=0,"",VLOOKUP(D38, Indices!$A:$B, 2, FALSE))</f>
        <v/>
      </c>
      <c r="F38" t="str">
        <f>IF(OR(LEN('Initial dilution'!$B27)=0, LEN('Initial dilution'!$F27)=0), "", IF(LEFT(RIGHT('Initial dilution'!$F27,3),1)="5",'Initial dilution'!$F27,'Initial dilution'!$E27))</f>
        <v/>
      </c>
      <c r="G38" t="str">
        <f>IF(LEN(F38)=0,"",VLOOKUP(F38, Indices!$A:$B, 2, FALSE))</f>
        <v/>
      </c>
      <c r="H38" t="str">
        <f>IF(LEN('Initial dilution'!$B27)&gt;0, 'Initial dilution'!$C27,"")</f>
        <v/>
      </c>
      <c r="I38" t="str">
        <f>IF(LEN('Initial dilution'!$B27)=0, "", "Species=" &amp; SUBSTITUTE(SUBSTITUTE('Initial dilution'!$D27, ",", "_"), " ", "_")) &amp; IF(LEN('Initial dilution'!$B27)=0, "", ";ExpectedGenomeSize=" &amp; VLOOKUP('Initial dilution'!$B27, 'Initial dilution'!$B:$I, 7, FALSE))</f>
        <v/>
      </c>
    </row>
    <row r="39" spans="1:9">
      <c r="A39" t="str">
        <f>IF(LEN('Initial dilution'!$B28)&gt;0,'Initial dilution'!$B28,"")&amp;"-"&amp;B39&amp;"-"</f>
        <v>--</v>
      </c>
      <c r="B39" t="str">
        <f>IF(LEN('Initial dilution'!$B28)&gt;0, 'Initial dilution'!$C$3,"")</f>
        <v/>
      </c>
      <c r="C39" t="str">
        <f>IF(LEN('Initial dilution'!$B28)&gt;0, 'Initial dilution'!$A28,"")</f>
        <v/>
      </c>
      <c r="D39" t="str">
        <f>IF(OR(LEN('Initial dilution'!$B28)=0, LEN('Initial dilution'!$E28)=0), "", IF(LEFT(RIGHT('Initial dilution'!$E28,3),1)="7",'Initial dilution'!$E28,'Initial dilution'!#REF!))</f>
        <v/>
      </c>
      <c r="E39" t="str">
        <f>IF(LEN(D39)=0,"",VLOOKUP(D39, Indices!$A:$B, 2, FALSE))</f>
        <v/>
      </c>
      <c r="F39" t="str">
        <f>IF(OR(LEN('Initial dilution'!$B28)=0, LEN('Initial dilution'!$F28)=0), "", IF(LEFT(RIGHT('Initial dilution'!$F28,3),1)="5",'Initial dilution'!$F28,'Initial dilution'!$E28))</f>
        <v/>
      </c>
      <c r="G39" t="str">
        <f>IF(LEN(F39)=0,"",VLOOKUP(F39, Indices!$A:$B, 2, FALSE))</f>
        <v/>
      </c>
      <c r="H39" t="str">
        <f>IF(LEN('Initial dilution'!$B28)&gt;0, 'Initial dilution'!$C28,"")</f>
        <v/>
      </c>
      <c r="I39" t="str">
        <f>IF(LEN('Initial dilution'!$B28)=0, "", "Species=" &amp; SUBSTITUTE(SUBSTITUTE('Initial dilution'!$D28, ",", "_"), " ", "_")) &amp; IF(LEN('Initial dilution'!$B28)=0, "", ";ExpectedGenomeSize=" &amp; VLOOKUP('Initial dilution'!$B28, 'Initial dilution'!$B:$I, 7, FALSE))</f>
        <v/>
      </c>
    </row>
    <row r="40" spans="1:9">
      <c r="A40" s="10" t="str">
        <f>IF(LEN('Initial dilution'!$B29)&gt;0,'Initial dilution'!$B29,"")&amp;"-"&amp;B40&amp;"-"</f>
        <v>--</v>
      </c>
      <c r="B40" s="10" t="str">
        <f>IF(LEN('Initial dilution'!$B29)&gt;0, 'Initial dilution'!$C$3,"")</f>
        <v/>
      </c>
      <c r="C40" s="10" t="str">
        <f>IF(LEN('Initial dilution'!$B29)&gt;0, 'Initial dilution'!$A29,"")</f>
        <v/>
      </c>
      <c r="D40" s="10" t="str">
        <f>IF(OR(LEN('Initial dilution'!$B29)=0, LEN('Initial dilution'!$E29)=0), "", IF(LEFT(RIGHT('Initial dilution'!$E29,3),1)="7",'Initial dilution'!$E29,'Initial dilution'!#REF!))</f>
        <v/>
      </c>
      <c r="E40" s="10" t="str">
        <f>IF(LEN(D40)=0,"",VLOOKUP(D40, Indices!$A:$B, 2, FALSE))</f>
        <v/>
      </c>
      <c r="F40" s="10" t="str">
        <f>IF(OR(LEN('Initial dilution'!$B29)=0, LEN('Initial dilution'!$F29)=0), "", IF(LEFT(RIGHT('Initial dilution'!$F29,3),1)="5",'Initial dilution'!$F29,'Initial dilution'!$E29))</f>
        <v/>
      </c>
      <c r="G40" s="10" t="str">
        <f>IF(LEN(F40)=0,"",VLOOKUP(F40, Indices!$A:$B, 2, FALSE))</f>
        <v/>
      </c>
      <c r="H40" s="10" t="str">
        <f>IF(LEN('Initial dilution'!$B29)&gt;0, 'Initial dilution'!$C29,"")</f>
        <v/>
      </c>
      <c r="I40" s="10" t="str">
        <f>IF(LEN('Initial dilution'!$B29)=0, "", "Species=" &amp; SUBSTITUTE(SUBSTITUTE('Initial dilution'!$D29, ",", "_"), " ", "_")) &amp; IF(LEN('Initial dilution'!$B29)=0, "", ";ExpectedGenomeSize=" &amp; VLOOKUP('Initial dilution'!$B29, 'Initial dilution'!$B:$I, 7, FALSE))</f>
        <v/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/>
  <dimension ref="A1:I1250"/>
  <sheetViews>
    <sheetView topLeftCell="A7" zoomScale="85" zoomScaleNormal="85" zoomScalePageLayoutView="85" workbookViewId="0">
      <selection activeCell="J16" sqref="J16"/>
    </sheetView>
  </sheetViews>
  <sheetFormatPr baseColWidth="10" defaultColWidth="19.5" defaultRowHeight="14" x14ac:dyDescent="0"/>
  <cols>
    <col min="1" max="1" width="20.6640625" style="85" customWidth="1"/>
    <col min="2" max="2" width="21.5" style="85" bestFit="1" customWidth="1"/>
    <col min="3" max="3" width="22.83203125" style="85" bestFit="1" customWidth="1"/>
    <col min="4" max="4" width="19" style="85" bestFit="1" customWidth="1"/>
    <col min="5" max="5" width="19.5" style="85" customWidth="1"/>
    <col min="6" max="6" width="20.33203125" style="85" customWidth="1"/>
    <col min="7" max="7" width="11.5" style="85" customWidth="1"/>
    <col min="8" max="8" width="14.5" style="85" bestFit="1" customWidth="1"/>
    <col min="9" max="9" width="12" style="85" bestFit="1" customWidth="1"/>
    <col min="10" max="16384" width="19.5" style="85"/>
  </cols>
  <sheetData>
    <row r="1" spans="1:9">
      <c r="A1" s="3" t="s">
        <v>3</v>
      </c>
      <c r="B1" s="61" t="str">
        <f>'Normalization and Pooling'!B3</f>
        <v>LabID_MXXXX_YYMMDD</v>
      </c>
      <c r="C1"/>
      <c r="F1" s="87"/>
    </row>
    <row r="2" spans="1:9">
      <c r="A2" s="3" t="s">
        <v>192</v>
      </c>
      <c r="B2" s="109">
        <f>'Normalization and Pooling'!B4</f>
        <v>42282</v>
      </c>
      <c r="C2"/>
      <c r="F2" s="87"/>
    </row>
    <row r="3" spans="1:9">
      <c r="A3" s="3" t="s">
        <v>193</v>
      </c>
      <c r="B3" s="110" t="s">
        <v>186</v>
      </c>
      <c r="F3" s="87"/>
    </row>
    <row r="4" spans="1:9" ht="15" thickBot="1"/>
    <row r="5" spans="1:9" ht="15" thickBot="1">
      <c r="A5" s="101" t="s">
        <v>208</v>
      </c>
      <c r="B5" s="105" t="s">
        <v>84</v>
      </c>
      <c r="C5" s="105" t="s">
        <v>202</v>
      </c>
      <c r="D5" s="105" t="s">
        <v>83</v>
      </c>
      <c r="E5" s="106" t="s">
        <v>203</v>
      </c>
    </row>
    <row r="6" spans="1:9" ht="15" thickBot="1">
      <c r="A6" s="102" t="s">
        <v>182</v>
      </c>
      <c r="B6" s="99"/>
      <c r="C6" s="99"/>
      <c r="D6" s="99"/>
      <c r="E6" s="100"/>
      <c r="F6" s="87"/>
    </row>
    <row r="7" spans="1:9" ht="15" thickBot="1">
      <c r="A7" s="103" t="s">
        <v>183</v>
      </c>
      <c r="B7" s="111" t="str">
        <f>IF(LEN($B$3)=0,"",HLOOKUP($B$3, Indices!$A$26:$H$28, ROW(B7)-4, FALSE))</f>
        <v>&gt; 75%</v>
      </c>
      <c r="C7" s="107" t="s">
        <v>207</v>
      </c>
      <c r="D7" s="107" t="s">
        <v>194</v>
      </c>
      <c r="E7" s="108" t="str">
        <f>IF(LEN($B$3)=0,"",INDEX(Indices!$A$26:$H$28, 3,MATCH($B$3, Indices!$A$26:$H$26,0) + 1))</f>
        <v>7.5 - 8.5</v>
      </c>
      <c r="F7" s="87"/>
    </row>
    <row r="8" spans="1:9" ht="15" thickBot="1">
      <c r="A8" s="104" t="s">
        <v>184</v>
      </c>
      <c r="B8" s="90"/>
      <c r="C8" s="90"/>
      <c r="D8" s="90"/>
      <c r="E8" s="91"/>
      <c r="F8" s="87"/>
    </row>
    <row r="9" spans="1:9" ht="15" thickBot="1">
      <c r="A9" s="88"/>
      <c r="B9" s="89"/>
      <c r="C9" s="89"/>
      <c r="D9" s="89"/>
      <c r="E9" s="89"/>
      <c r="F9" s="87"/>
    </row>
    <row r="10" spans="1:9">
      <c r="A10" s="92" t="s">
        <v>191</v>
      </c>
      <c r="B10" s="93" t="s">
        <v>180</v>
      </c>
      <c r="C10" s="93" t="s">
        <v>177</v>
      </c>
      <c r="D10" s="93" t="s">
        <v>178</v>
      </c>
      <c r="E10" s="94" t="s">
        <v>179</v>
      </c>
    </row>
    <row r="11" spans="1:9" s="86" customFormat="1">
      <c r="A11" s="95" t="s">
        <v>182</v>
      </c>
      <c r="B11" s="116"/>
      <c r="C11" s="116"/>
      <c r="D11" s="116"/>
      <c r="E11" s="117"/>
      <c r="F11" s="85"/>
    </row>
    <row r="12" spans="1:9" s="86" customFormat="1" ht="15" thickBot="1">
      <c r="A12" s="96" t="s">
        <v>183</v>
      </c>
      <c r="B12" s="97" t="s">
        <v>188</v>
      </c>
      <c r="C12" s="97" t="s">
        <v>189</v>
      </c>
      <c r="D12" s="97" t="s">
        <v>190</v>
      </c>
      <c r="E12" s="98" t="s">
        <v>190</v>
      </c>
    </row>
    <row r="14" spans="1:9" ht="15" thickBot="1"/>
    <row r="15" spans="1:9" ht="15" thickBot="1">
      <c r="A15" s="119" t="s">
        <v>158</v>
      </c>
      <c r="B15" s="120" t="s">
        <v>21</v>
      </c>
      <c r="C15" s="120" t="s">
        <v>159</v>
      </c>
      <c r="D15" s="120" t="s">
        <v>160</v>
      </c>
      <c r="E15" s="120" t="s">
        <v>161</v>
      </c>
      <c r="F15" s="121" t="s">
        <v>162</v>
      </c>
      <c r="G15" s="120" t="s">
        <v>163</v>
      </c>
      <c r="H15" s="122" t="s">
        <v>164</v>
      </c>
      <c r="I15" s="123" t="s">
        <v>176</v>
      </c>
    </row>
    <row r="16" spans="1:9" ht="15" thickBot="1">
      <c r="A16" s="124">
        <v>1</v>
      </c>
      <c r="B16" s="112" t="s">
        <v>181</v>
      </c>
      <c r="C16" s="112"/>
      <c r="D16" s="112"/>
      <c r="E16" s="112"/>
      <c r="F16" s="113">
        <v>7.7378999999999998</v>
      </c>
      <c r="G16" s="112">
        <v>17862215</v>
      </c>
      <c r="H16" s="118">
        <f>G16*F16/100</f>
        <v>1382160.334485</v>
      </c>
      <c r="I16" s="125" t="e">
        <f>IF(OR(LEN($B$3)=0,LEN($B16)=0),"",($H16*LEFT($B$3,3)/(VLOOKUP(B16, 'Initial dilution'!$B:$H,7,FALSE)*1000000)))</f>
        <v>#N/A</v>
      </c>
    </row>
    <row r="17" spans="1:9" ht="15" thickBot="1">
      <c r="A17" s="126">
        <v>2</v>
      </c>
      <c r="B17" s="114" t="s">
        <v>201</v>
      </c>
      <c r="C17" s="114"/>
      <c r="D17" s="114"/>
      <c r="E17" s="114"/>
      <c r="F17" s="115">
        <v>5.4</v>
      </c>
      <c r="G17" s="112">
        <v>17862215</v>
      </c>
      <c r="H17" s="118">
        <f t="shared" ref="H17:H31" si="0">G17*F17/100</f>
        <v>964559.61</v>
      </c>
      <c r="I17" s="125" t="e">
        <f>IF(OR(LEN($B$3)=0,LEN($B17)=0),"",($H17*LEFT($B$3,3)/(VLOOKUP(B17, 'Initial dilution'!$B:$H,7,FALSE)*1000000)))</f>
        <v>#N/A</v>
      </c>
    </row>
    <row r="18" spans="1:9" ht="15" thickBot="1">
      <c r="A18" s="126"/>
      <c r="B18" s="114"/>
      <c r="C18" s="114"/>
      <c r="D18" s="114"/>
      <c r="E18" s="114"/>
      <c r="F18" s="115"/>
      <c r="G18" s="114"/>
      <c r="H18" s="118">
        <f t="shared" si="0"/>
        <v>0</v>
      </c>
      <c r="I18" s="125" t="str">
        <f>IF(OR(LEN($B$3)=0,LEN($B18)=0),"",($H18*LEFT($B$3,3)/(VLOOKUP(B18, 'Initial dilution'!$B:$H,7,FALSE)*1000000)))</f>
        <v/>
      </c>
    </row>
    <row r="19" spans="1:9" ht="15" thickBot="1">
      <c r="A19" s="126"/>
      <c r="B19" s="114"/>
      <c r="C19" s="114"/>
      <c r="D19" s="114"/>
      <c r="E19" s="114"/>
      <c r="F19" s="115"/>
      <c r="G19" s="114"/>
      <c r="H19" s="118">
        <f t="shared" si="0"/>
        <v>0</v>
      </c>
      <c r="I19" s="125" t="str">
        <f>IF(OR(LEN($B$3)=0,LEN($B19)=0),"",($H19*LEFT($B$3,3)/(VLOOKUP(B19, 'Initial dilution'!$B:$H,7,FALSE)*1000000)))</f>
        <v/>
      </c>
    </row>
    <row r="20" spans="1:9" ht="15" thickBot="1">
      <c r="A20" s="126"/>
      <c r="B20" s="114"/>
      <c r="C20" s="114"/>
      <c r="D20" s="114"/>
      <c r="E20" s="114"/>
      <c r="F20" s="115"/>
      <c r="G20" s="114"/>
      <c r="H20" s="118">
        <f t="shared" si="0"/>
        <v>0</v>
      </c>
      <c r="I20" s="125" t="str">
        <f>IF(OR(LEN($B$3)=0,LEN($B20)=0),"",($H20*LEFT($B$3,3)/(VLOOKUP(B20, 'Initial dilution'!$B:$H,7,FALSE)*1000000)))</f>
        <v/>
      </c>
    </row>
    <row r="21" spans="1:9" ht="15" thickBot="1">
      <c r="A21" s="126"/>
      <c r="B21" s="114"/>
      <c r="C21" s="114"/>
      <c r="D21" s="114"/>
      <c r="E21" s="114"/>
      <c r="F21" s="115"/>
      <c r="G21" s="114"/>
      <c r="H21" s="118">
        <f t="shared" si="0"/>
        <v>0</v>
      </c>
      <c r="I21" s="125" t="str">
        <f>IF(OR(LEN($B$3)=0,LEN($B21)=0),"",($H21*LEFT($B$3,3)/(VLOOKUP(B21, 'Initial dilution'!$B:$H,7,FALSE)*1000000)))</f>
        <v/>
      </c>
    </row>
    <row r="22" spans="1:9" ht="15" thickBot="1">
      <c r="A22" s="126"/>
      <c r="B22" s="114"/>
      <c r="C22" s="114"/>
      <c r="D22" s="114"/>
      <c r="E22" s="114"/>
      <c r="F22" s="115"/>
      <c r="G22" s="114"/>
      <c r="H22" s="118">
        <f t="shared" si="0"/>
        <v>0</v>
      </c>
      <c r="I22" s="125" t="str">
        <f>IF(OR(LEN($B$3)=0,LEN($B22)=0),"",($H22*LEFT($B$3,3)/(VLOOKUP(B22, 'Initial dilution'!$B:$H,7,FALSE)*1000000)))</f>
        <v/>
      </c>
    </row>
    <row r="23" spans="1:9" ht="15" thickBot="1">
      <c r="A23" s="126"/>
      <c r="B23" s="114"/>
      <c r="C23" s="114"/>
      <c r="D23" s="114"/>
      <c r="E23" s="114"/>
      <c r="F23" s="115"/>
      <c r="G23" s="114"/>
      <c r="H23" s="118">
        <f t="shared" si="0"/>
        <v>0</v>
      </c>
      <c r="I23" s="125" t="str">
        <f>IF(OR(LEN($B$3)=0,LEN($B23)=0),"",($H23*LEFT($B$3,3)/(VLOOKUP(B23, 'Initial dilution'!$B:$H,7,FALSE)*1000000)))</f>
        <v/>
      </c>
    </row>
    <row r="24" spans="1:9" ht="15" thickBot="1">
      <c r="A24" s="126"/>
      <c r="B24" s="114"/>
      <c r="C24" s="114"/>
      <c r="D24" s="114"/>
      <c r="E24" s="114"/>
      <c r="F24" s="115"/>
      <c r="G24" s="114"/>
      <c r="H24" s="118">
        <f t="shared" si="0"/>
        <v>0</v>
      </c>
      <c r="I24" s="125" t="str">
        <f>IF(OR(LEN($B$3)=0,LEN($B24)=0),"",($H24*LEFT($B$3,3)/(VLOOKUP(B24, 'Initial dilution'!$B:$H,7,FALSE)*1000000)))</f>
        <v/>
      </c>
    </row>
    <row r="25" spans="1:9" ht="15" thickBot="1">
      <c r="A25" s="126"/>
      <c r="B25" s="114"/>
      <c r="C25" s="114"/>
      <c r="D25" s="114"/>
      <c r="E25" s="114"/>
      <c r="F25" s="115"/>
      <c r="G25" s="114"/>
      <c r="H25" s="118">
        <f t="shared" si="0"/>
        <v>0</v>
      </c>
      <c r="I25" s="125" t="str">
        <f>IF(OR(LEN($B$3)=0,LEN($B25)=0),"",($H25*LEFT($B$3,3)/(VLOOKUP(B25, 'Initial dilution'!$B:$H,7,FALSE)*1000000)))</f>
        <v/>
      </c>
    </row>
    <row r="26" spans="1:9" ht="15" thickBot="1">
      <c r="A26" s="126"/>
      <c r="B26" s="114"/>
      <c r="C26" s="114"/>
      <c r="D26" s="114"/>
      <c r="E26" s="114"/>
      <c r="F26" s="115"/>
      <c r="G26" s="114"/>
      <c r="H26" s="118">
        <f t="shared" si="0"/>
        <v>0</v>
      </c>
      <c r="I26" s="125" t="str">
        <f>IF(OR(LEN($B$3)=0,LEN($B26)=0),"",($H26*LEFT($B$3,3)/(VLOOKUP(B26, 'Initial dilution'!$B:$H,7,FALSE)*1000000)))</f>
        <v/>
      </c>
    </row>
    <row r="27" spans="1:9" ht="15" thickBot="1">
      <c r="A27" s="126"/>
      <c r="B27" s="114"/>
      <c r="C27" s="114"/>
      <c r="D27" s="114"/>
      <c r="E27" s="114"/>
      <c r="F27" s="115"/>
      <c r="G27" s="114"/>
      <c r="H27" s="118">
        <f t="shared" si="0"/>
        <v>0</v>
      </c>
      <c r="I27" s="125" t="str">
        <f>IF(OR(LEN($B$3)=0,LEN($B27)=0),"",($H27*LEFT($B$3,3)/(VLOOKUP(B27, 'Initial dilution'!$B:$H,7,FALSE)*1000000)))</f>
        <v/>
      </c>
    </row>
    <row r="28" spans="1:9" ht="15" thickBot="1">
      <c r="A28" s="126"/>
      <c r="B28" s="114"/>
      <c r="C28" s="114"/>
      <c r="D28" s="114"/>
      <c r="E28" s="114"/>
      <c r="F28" s="115"/>
      <c r="G28" s="114"/>
      <c r="H28" s="118">
        <f t="shared" si="0"/>
        <v>0</v>
      </c>
      <c r="I28" s="125" t="str">
        <f>IF(OR(LEN($B$3)=0,LEN($B28)=0),"",($H28*LEFT($B$3,3)/(VLOOKUP(B28, 'Initial dilution'!$B:$H,7,FALSE)*1000000)))</f>
        <v/>
      </c>
    </row>
    <row r="29" spans="1:9" ht="15" thickBot="1">
      <c r="A29" s="126"/>
      <c r="B29" s="114"/>
      <c r="C29" s="114"/>
      <c r="D29" s="114"/>
      <c r="E29" s="114"/>
      <c r="F29" s="115"/>
      <c r="G29" s="114"/>
      <c r="H29" s="118">
        <f t="shared" si="0"/>
        <v>0</v>
      </c>
      <c r="I29" s="125" t="str">
        <f>IF(OR(LEN($B$3)=0,LEN($B29)=0),"",($H29*LEFT($B$3,3)/(VLOOKUP(B29, 'Initial dilution'!$B:$H,7,FALSE)*1000000)))</f>
        <v/>
      </c>
    </row>
    <row r="30" spans="1:9" ht="15" thickBot="1">
      <c r="A30" s="126"/>
      <c r="B30" s="114"/>
      <c r="C30" s="114"/>
      <c r="D30" s="114"/>
      <c r="E30" s="114"/>
      <c r="F30" s="115"/>
      <c r="G30" s="114"/>
      <c r="H30" s="118">
        <f t="shared" si="0"/>
        <v>0</v>
      </c>
      <c r="I30" s="125" t="str">
        <f>IF(OR(LEN($B$3)=0,LEN($B30)=0),"",($H30*LEFT($B$3,3)/(VLOOKUP(B30, 'Initial dilution'!$B:$H,7,FALSE)*1000000)))</f>
        <v/>
      </c>
    </row>
    <row r="31" spans="1:9" ht="15" thickBot="1">
      <c r="A31" s="127"/>
      <c r="B31" s="128"/>
      <c r="C31" s="128"/>
      <c r="D31" s="128"/>
      <c r="E31" s="128"/>
      <c r="F31" s="129"/>
      <c r="G31" s="128"/>
      <c r="H31" s="130">
        <f t="shared" si="0"/>
        <v>0</v>
      </c>
      <c r="I31" s="131" t="str">
        <f>IF(OR(LEN($B$3)=0,LEN($B31)=0),"",($H31*LEFT($B$3,3)/(VLOOKUP(B31, 'Initial dilution'!$B:$H,7,FALSE)*1000000)))</f>
        <v/>
      </c>
    </row>
    <row r="33" spans="1:3">
      <c r="A33" s="179" t="s">
        <v>213</v>
      </c>
      <c r="B33" s="179"/>
      <c r="C33" s="179"/>
    </row>
    <row r="34" spans="1:3">
      <c r="A34" s="85" t="s">
        <v>177</v>
      </c>
      <c r="B34" s="85">
        <v>5000000</v>
      </c>
    </row>
    <row r="35" spans="1:3">
      <c r="A35" s="85" t="s">
        <v>180</v>
      </c>
      <c r="B35" s="85">
        <v>5000000</v>
      </c>
    </row>
    <row r="36" spans="1:3">
      <c r="A36" s="85" t="s">
        <v>178</v>
      </c>
      <c r="B36" s="85">
        <v>3000000</v>
      </c>
    </row>
    <row r="37" spans="1:3">
      <c r="A37" s="85" t="s">
        <v>179</v>
      </c>
      <c r="B37" s="85">
        <v>1600000</v>
      </c>
    </row>
    <row r="38" spans="1:3">
      <c r="A38" s="85" t="s">
        <v>198</v>
      </c>
      <c r="B38" s="85">
        <v>5000000</v>
      </c>
    </row>
    <row r="39" spans="1:3">
      <c r="A39" s="85" t="s">
        <v>200</v>
      </c>
      <c r="B39" s="85">
        <v>5000000</v>
      </c>
    </row>
    <row r="40" spans="1:3">
      <c r="A40" s="85" t="s">
        <v>199</v>
      </c>
      <c r="B40" s="85">
        <v>4000000</v>
      </c>
    </row>
    <row r="1170" spans="1:1">
      <c r="A1170" s="85" t="s">
        <v>210</v>
      </c>
    </row>
    <row r="1250" spans="1:1">
      <c r="A1250" s="85" t="s">
        <v>209</v>
      </c>
    </row>
  </sheetData>
  <mergeCells count="1">
    <mergeCell ref="A33:C33"/>
  </mergeCells>
  <dataValidations count="1">
    <dataValidation type="list" allowBlank="1" showInputMessage="1" showErrorMessage="1" sqref="B3">
      <formula1>"300 cycle V2 kit, 500 cycle V2 kit,600 cycle V3 kit"</formula1>
    </dataValidation>
  </dataValidation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/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/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/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/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/>
  <dimension ref="A1:U28"/>
  <sheetViews>
    <sheetView topLeftCell="D1" workbookViewId="0">
      <selection activeCell="T1" sqref="T1:U1"/>
    </sheetView>
  </sheetViews>
  <sheetFormatPr baseColWidth="10" defaultColWidth="8.83203125" defaultRowHeight="14" x14ac:dyDescent="0"/>
  <cols>
    <col min="1" max="1" width="13.6640625" bestFit="1" customWidth="1"/>
    <col min="2" max="2" width="19.5" bestFit="1" customWidth="1"/>
    <col min="3" max="3" width="7.6640625" bestFit="1" customWidth="1"/>
    <col min="4" max="4" width="13.5" bestFit="1" customWidth="1"/>
  </cols>
  <sheetData>
    <row r="1" spans="1:21">
      <c r="A1" s="1" t="s">
        <v>112</v>
      </c>
      <c r="B1" s="1" t="s">
        <v>113</v>
      </c>
      <c r="D1" s="1" t="s">
        <v>166</v>
      </c>
      <c r="E1" s="154" t="s">
        <v>167</v>
      </c>
      <c r="F1" s="154"/>
      <c r="H1" s="154" t="s">
        <v>168</v>
      </c>
      <c r="I1" s="154"/>
      <c r="K1" s="154" t="s">
        <v>169</v>
      </c>
      <c r="L1" s="154"/>
      <c r="N1" s="154" t="s">
        <v>170</v>
      </c>
      <c r="O1" s="154"/>
      <c r="Q1" s="154" t="s">
        <v>217</v>
      </c>
      <c r="R1" s="154"/>
      <c r="T1" s="154" t="s">
        <v>216</v>
      </c>
      <c r="U1" s="154"/>
    </row>
    <row r="2" spans="1:21">
      <c r="A2" t="s">
        <v>114</v>
      </c>
      <c r="B2" t="s">
        <v>115</v>
      </c>
      <c r="E2" t="s">
        <v>23</v>
      </c>
      <c r="F2" t="s">
        <v>24</v>
      </c>
      <c r="H2" t="s">
        <v>23</v>
      </c>
      <c r="I2" t="s">
        <v>24</v>
      </c>
      <c r="K2" t="s">
        <v>23</v>
      </c>
      <c r="L2" s="79" t="s">
        <v>24</v>
      </c>
      <c r="N2" t="s">
        <v>23</v>
      </c>
      <c r="O2" t="s">
        <v>24</v>
      </c>
      <c r="Q2" t="s">
        <v>23</v>
      </c>
      <c r="R2" t="s">
        <v>24</v>
      </c>
      <c r="T2" t="s">
        <v>23</v>
      </c>
      <c r="U2" t="s">
        <v>24</v>
      </c>
    </row>
    <row r="3" spans="1:21">
      <c r="A3" t="s">
        <v>116</v>
      </c>
      <c r="B3" t="s">
        <v>117</v>
      </c>
      <c r="E3" t="s">
        <v>114</v>
      </c>
      <c r="F3" t="s">
        <v>154</v>
      </c>
      <c r="H3" t="s">
        <v>114</v>
      </c>
      <c r="I3" t="s">
        <v>142</v>
      </c>
      <c r="K3" t="s">
        <v>114</v>
      </c>
      <c r="L3" t="s">
        <v>146</v>
      </c>
      <c r="N3" t="s">
        <v>114</v>
      </c>
      <c r="O3" t="s">
        <v>150</v>
      </c>
      <c r="Q3" t="s">
        <v>130</v>
      </c>
      <c r="R3" t="s">
        <v>154</v>
      </c>
      <c r="T3" t="s">
        <v>130</v>
      </c>
      <c r="U3" t="s">
        <v>146</v>
      </c>
    </row>
    <row r="4" spans="1:21">
      <c r="A4" t="s">
        <v>118</v>
      </c>
      <c r="B4" t="s">
        <v>119</v>
      </c>
      <c r="E4" t="s">
        <v>116</v>
      </c>
      <c r="F4" t="s">
        <v>154</v>
      </c>
      <c r="H4" t="s">
        <v>116</v>
      </c>
      <c r="I4" t="s">
        <v>142</v>
      </c>
      <c r="K4" t="s">
        <v>116</v>
      </c>
      <c r="L4" t="s">
        <v>146</v>
      </c>
      <c r="N4" t="s">
        <v>116</v>
      </c>
      <c r="O4" t="s">
        <v>150</v>
      </c>
      <c r="Q4" t="s">
        <v>132</v>
      </c>
      <c r="R4" t="s">
        <v>154</v>
      </c>
      <c r="T4" t="s">
        <v>132</v>
      </c>
      <c r="U4" t="s">
        <v>146</v>
      </c>
    </row>
    <row r="5" spans="1:21">
      <c r="A5" t="s">
        <v>120</v>
      </c>
      <c r="B5" t="s">
        <v>121</v>
      </c>
      <c r="E5" t="s">
        <v>118</v>
      </c>
      <c r="F5" t="s">
        <v>154</v>
      </c>
      <c r="H5" t="s">
        <v>118</v>
      </c>
      <c r="I5" t="s">
        <v>142</v>
      </c>
      <c r="K5" t="s">
        <v>118</v>
      </c>
      <c r="L5" t="s">
        <v>146</v>
      </c>
      <c r="N5" t="s">
        <v>118</v>
      </c>
      <c r="O5" t="s">
        <v>150</v>
      </c>
      <c r="Q5" t="s">
        <v>134</v>
      </c>
      <c r="R5" t="s">
        <v>154</v>
      </c>
      <c r="T5" t="s">
        <v>134</v>
      </c>
      <c r="U5" t="s">
        <v>146</v>
      </c>
    </row>
    <row r="6" spans="1:21">
      <c r="A6" t="s">
        <v>122</v>
      </c>
      <c r="B6" t="s">
        <v>123</v>
      </c>
      <c r="E6" t="s">
        <v>120</v>
      </c>
      <c r="F6" t="s">
        <v>154</v>
      </c>
      <c r="H6" t="s">
        <v>120</v>
      </c>
      <c r="I6" t="s">
        <v>142</v>
      </c>
      <c r="K6" t="s">
        <v>120</v>
      </c>
      <c r="L6" t="s">
        <v>146</v>
      </c>
      <c r="N6" t="s">
        <v>120</v>
      </c>
      <c r="O6" t="s">
        <v>150</v>
      </c>
      <c r="Q6" t="s">
        <v>136</v>
      </c>
      <c r="R6" t="s">
        <v>154</v>
      </c>
      <c r="T6" t="s">
        <v>136</v>
      </c>
      <c r="U6" t="s">
        <v>146</v>
      </c>
    </row>
    <row r="7" spans="1:21">
      <c r="A7" t="s">
        <v>124</v>
      </c>
      <c r="B7" t="s">
        <v>125</v>
      </c>
      <c r="E7" t="s">
        <v>122</v>
      </c>
      <c r="F7" t="s">
        <v>154</v>
      </c>
      <c r="H7" t="s">
        <v>122</v>
      </c>
      <c r="I7" t="s">
        <v>142</v>
      </c>
      <c r="K7" t="s">
        <v>122</v>
      </c>
      <c r="L7" t="s">
        <v>146</v>
      </c>
      <c r="N7" t="s">
        <v>122</v>
      </c>
      <c r="O7" t="s">
        <v>150</v>
      </c>
      <c r="Q7" t="s">
        <v>130</v>
      </c>
      <c r="R7" t="s">
        <v>140</v>
      </c>
      <c r="T7" t="s">
        <v>130</v>
      </c>
      <c r="U7" t="s">
        <v>148</v>
      </c>
    </row>
    <row r="8" spans="1:21">
      <c r="A8" t="s">
        <v>126</v>
      </c>
      <c r="B8" t="s">
        <v>127</v>
      </c>
      <c r="E8" t="s">
        <v>124</v>
      </c>
      <c r="F8" t="s">
        <v>154</v>
      </c>
      <c r="H8" t="s">
        <v>124</v>
      </c>
      <c r="I8" t="s">
        <v>142</v>
      </c>
      <c r="K8" t="s">
        <v>124</v>
      </c>
      <c r="L8" t="s">
        <v>146</v>
      </c>
      <c r="N8" t="s">
        <v>124</v>
      </c>
      <c r="O8" t="s">
        <v>150</v>
      </c>
      <c r="Q8" t="s">
        <v>132</v>
      </c>
      <c r="R8" t="s">
        <v>140</v>
      </c>
      <c r="T8" t="s">
        <v>132</v>
      </c>
      <c r="U8" t="s">
        <v>148</v>
      </c>
    </row>
    <row r="9" spans="1:21">
      <c r="A9" t="s">
        <v>128</v>
      </c>
      <c r="B9" t="s">
        <v>129</v>
      </c>
      <c r="E9" t="s">
        <v>126</v>
      </c>
      <c r="F9" t="s">
        <v>154</v>
      </c>
      <c r="H9" t="s">
        <v>126</v>
      </c>
      <c r="I9" t="s">
        <v>142</v>
      </c>
      <c r="K9" t="s">
        <v>126</v>
      </c>
      <c r="L9" t="s">
        <v>146</v>
      </c>
      <c r="N9" t="s">
        <v>126</v>
      </c>
      <c r="O9" t="s">
        <v>150</v>
      </c>
      <c r="Q9" t="s">
        <v>134</v>
      </c>
      <c r="R9" t="s">
        <v>140</v>
      </c>
      <c r="T9" t="s">
        <v>134</v>
      </c>
      <c r="U9" t="s">
        <v>148</v>
      </c>
    </row>
    <row r="10" spans="1:21">
      <c r="A10" t="s">
        <v>130</v>
      </c>
      <c r="B10" t="s">
        <v>131</v>
      </c>
      <c r="E10" t="s">
        <v>128</v>
      </c>
      <c r="F10" t="s">
        <v>154</v>
      </c>
      <c r="H10" t="s">
        <v>128</v>
      </c>
      <c r="I10" t="s">
        <v>142</v>
      </c>
      <c r="K10" t="s">
        <v>128</v>
      </c>
      <c r="L10" t="s">
        <v>146</v>
      </c>
      <c r="N10" t="s">
        <v>128</v>
      </c>
      <c r="O10" t="s">
        <v>150</v>
      </c>
      <c r="Q10" t="s">
        <v>136</v>
      </c>
      <c r="R10" t="s">
        <v>140</v>
      </c>
      <c r="T10" t="s">
        <v>136</v>
      </c>
      <c r="U10" t="s">
        <v>148</v>
      </c>
    </row>
    <row r="11" spans="1:21">
      <c r="A11" t="s">
        <v>132</v>
      </c>
      <c r="B11" t="s">
        <v>133</v>
      </c>
      <c r="E11" t="s">
        <v>114</v>
      </c>
      <c r="F11" t="s">
        <v>140</v>
      </c>
      <c r="H11" t="s">
        <v>114</v>
      </c>
      <c r="I11" t="s">
        <v>144</v>
      </c>
      <c r="K11" t="s">
        <v>114</v>
      </c>
      <c r="L11" t="s">
        <v>148</v>
      </c>
      <c r="N11" t="s">
        <v>114</v>
      </c>
      <c r="O11" t="s">
        <v>152</v>
      </c>
      <c r="Q11" t="s">
        <v>130</v>
      </c>
      <c r="R11" t="s">
        <v>142</v>
      </c>
      <c r="T11" t="s">
        <v>130</v>
      </c>
      <c r="U11" t="s">
        <v>150</v>
      </c>
    </row>
    <row r="12" spans="1:21">
      <c r="A12" t="s">
        <v>134</v>
      </c>
      <c r="B12" t="s">
        <v>135</v>
      </c>
      <c r="E12" t="s">
        <v>116</v>
      </c>
      <c r="F12" t="s">
        <v>140</v>
      </c>
      <c r="H12" t="s">
        <v>116</v>
      </c>
      <c r="I12" t="s">
        <v>144</v>
      </c>
      <c r="K12" t="s">
        <v>116</v>
      </c>
      <c r="L12" t="s">
        <v>148</v>
      </c>
      <c r="N12" t="s">
        <v>116</v>
      </c>
      <c r="O12" t="s">
        <v>152</v>
      </c>
      <c r="Q12" t="s">
        <v>132</v>
      </c>
      <c r="R12" t="s">
        <v>142</v>
      </c>
      <c r="T12" t="s">
        <v>132</v>
      </c>
      <c r="U12" t="s">
        <v>150</v>
      </c>
    </row>
    <row r="13" spans="1:21">
      <c r="A13" t="s">
        <v>136</v>
      </c>
      <c r="B13" t="s">
        <v>137</v>
      </c>
      <c r="E13" t="s">
        <v>118</v>
      </c>
      <c r="F13" t="s">
        <v>140</v>
      </c>
      <c r="H13" t="s">
        <v>118</v>
      </c>
      <c r="I13" t="s">
        <v>144</v>
      </c>
      <c r="K13" t="s">
        <v>118</v>
      </c>
      <c r="L13" t="s">
        <v>148</v>
      </c>
      <c r="N13" t="s">
        <v>118</v>
      </c>
      <c r="O13" t="s">
        <v>152</v>
      </c>
      <c r="Q13" t="s">
        <v>134</v>
      </c>
      <c r="R13" t="s">
        <v>142</v>
      </c>
      <c r="T13" t="s">
        <v>134</v>
      </c>
      <c r="U13" t="s">
        <v>150</v>
      </c>
    </row>
    <row r="14" spans="1:21">
      <c r="A14" t="s">
        <v>138</v>
      </c>
      <c r="B14" t="s">
        <v>139</v>
      </c>
      <c r="E14" t="s">
        <v>120</v>
      </c>
      <c r="F14" t="s">
        <v>140</v>
      </c>
      <c r="H14" t="s">
        <v>120</v>
      </c>
      <c r="I14" t="s">
        <v>144</v>
      </c>
      <c r="K14" t="s">
        <v>120</v>
      </c>
      <c r="L14" t="s">
        <v>148</v>
      </c>
      <c r="N14" t="s">
        <v>120</v>
      </c>
      <c r="O14" t="s">
        <v>152</v>
      </c>
      <c r="Q14" t="s">
        <v>136</v>
      </c>
      <c r="R14" t="s">
        <v>142</v>
      </c>
      <c r="T14" t="s">
        <v>136</v>
      </c>
      <c r="U14" t="s">
        <v>150</v>
      </c>
    </row>
    <row r="15" spans="1:21">
      <c r="A15" t="s">
        <v>140</v>
      </c>
      <c r="B15" t="s">
        <v>141</v>
      </c>
      <c r="E15" t="s">
        <v>122</v>
      </c>
      <c r="F15" t="s">
        <v>140</v>
      </c>
      <c r="H15" t="s">
        <v>122</v>
      </c>
      <c r="I15" t="s">
        <v>144</v>
      </c>
      <c r="K15" t="s">
        <v>122</v>
      </c>
      <c r="L15" t="s">
        <v>148</v>
      </c>
      <c r="N15" t="s">
        <v>122</v>
      </c>
      <c r="O15" t="s">
        <v>152</v>
      </c>
      <c r="Q15" t="s">
        <v>130</v>
      </c>
      <c r="R15" t="s">
        <v>144</v>
      </c>
      <c r="T15" t="s">
        <v>130</v>
      </c>
      <c r="U15" t="s">
        <v>152</v>
      </c>
    </row>
    <row r="16" spans="1:21">
      <c r="A16" t="s">
        <v>142</v>
      </c>
      <c r="B16" t="s">
        <v>143</v>
      </c>
      <c r="E16" t="s">
        <v>124</v>
      </c>
      <c r="F16" t="s">
        <v>140</v>
      </c>
      <c r="H16" t="s">
        <v>124</v>
      </c>
      <c r="I16" t="s">
        <v>144</v>
      </c>
      <c r="K16" t="s">
        <v>124</v>
      </c>
      <c r="L16" t="s">
        <v>148</v>
      </c>
      <c r="N16" t="s">
        <v>124</v>
      </c>
      <c r="O16" t="s">
        <v>152</v>
      </c>
      <c r="Q16" t="s">
        <v>132</v>
      </c>
      <c r="R16" t="s">
        <v>144</v>
      </c>
      <c r="T16" t="s">
        <v>132</v>
      </c>
      <c r="U16" t="s">
        <v>152</v>
      </c>
    </row>
    <row r="17" spans="1:21">
      <c r="A17" t="s">
        <v>144</v>
      </c>
      <c r="B17" t="s">
        <v>145</v>
      </c>
      <c r="E17" t="s">
        <v>126</v>
      </c>
      <c r="F17" t="s">
        <v>140</v>
      </c>
      <c r="H17" t="s">
        <v>126</v>
      </c>
      <c r="I17" t="s">
        <v>144</v>
      </c>
      <c r="K17" t="s">
        <v>126</v>
      </c>
      <c r="L17" t="s">
        <v>148</v>
      </c>
      <c r="N17" t="s">
        <v>126</v>
      </c>
      <c r="O17" t="s">
        <v>152</v>
      </c>
      <c r="Q17" t="s">
        <v>134</v>
      </c>
      <c r="R17" t="s">
        <v>144</v>
      </c>
      <c r="T17" t="s">
        <v>134</v>
      </c>
      <c r="U17" t="s">
        <v>152</v>
      </c>
    </row>
    <row r="18" spans="1:21">
      <c r="A18" t="s">
        <v>146</v>
      </c>
      <c r="B18" t="s">
        <v>147</v>
      </c>
      <c r="E18" t="s">
        <v>128</v>
      </c>
      <c r="F18" t="s">
        <v>140</v>
      </c>
      <c r="H18" t="s">
        <v>128</v>
      </c>
      <c r="I18" t="s">
        <v>144</v>
      </c>
      <c r="K18" t="s">
        <v>128</v>
      </c>
      <c r="L18" t="s">
        <v>148</v>
      </c>
      <c r="N18" t="s">
        <v>128</v>
      </c>
      <c r="O18" t="s">
        <v>152</v>
      </c>
      <c r="Q18" t="s">
        <v>136</v>
      </c>
      <c r="R18" t="s">
        <v>144</v>
      </c>
      <c r="T18" t="s">
        <v>136</v>
      </c>
      <c r="U18" t="s">
        <v>152</v>
      </c>
    </row>
    <row r="19" spans="1:21">
      <c r="A19" t="s">
        <v>148</v>
      </c>
      <c r="B19" t="s">
        <v>149</v>
      </c>
    </row>
    <row r="20" spans="1:21">
      <c r="A20" t="s">
        <v>150</v>
      </c>
      <c r="B20" t="s">
        <v>151</v>
      </c>
    </row>
    <row r="21" spans="1:21">
      <c r="A21" t="s">
        <v>152</v>
      </c>
      <c r="B21" t="s">
        <v>153</v>
      </c>
    </row>
    <row r="22" spans="1:21">
      <c r="A22" t="s">
        <v>154</v>
      </c>
      <c r="B22" t="s">
        <v>155</v>
      </c>
    </row>
    <row r="25" spans="1:21">
      <c r="A25" s="1" t="s">
        <v>196</v>
      </c>
    </row>
    <row r="26" spans="1:21">
      <c r="A26" s="154" t="s">
        <v>185</v>
      </c>
      <c r="B26" s="154"/>
      <c r="C26" s="84"/>
      <c r="D26" s="154" t="s">
        <v>186</v>
      </c>
      <c r="E26" s="154"/>
      <c r="G26" s="154" t="s">
        <v>187</v>
      </c>
      <c r="H26" s="154"/>
    </row>
    <row r="27" spans="1:21">
      <c r="A27" t="s">
        <v>84</v>
      </c>
      <c r="B27" t="s">
        <v>85</v>
      </c>
      <c r="D27" t="s">
        <v>84</v>
      </c>
      <c r="E27" t="s">
        <v>85</v>
      </c>
      <c r="G27" t="s">
        <v>84</v>
      </c>
      <c r="H27" t="s">
        <v>85</v>
      </c>
    </row>
    <row r="28" spans="1:21">
      <c r="A28" t="s">
        <v>194</v>
      </c>
      <c r="B28" t="s">
        <v>204</v>
      </c>
      <c r="D28" t="s">
        <v>195</v>
      </c>
      <c r="E28" t="s">
        <v>205</v>
      </c>
      <c r="G28" t="s">
        <v>197</v>
      </c>
      <c r="H28" t="s">
        <v>206</v>
      </c>
    </row>
  </sheetData>
  <mergeCells count="9">
    <mergeCell ref="A26:B26"/>
    <mergeCell ref="D26:E26"/>
    <mergeCell ref="G26:H26"/>
    <mergeCell ref="T1:U1"/>
    <mergeCell ref="Q1:R1"/>
    <mergeCell ref="E1:F1"/>
    <mergeCell ref="H1:I1"/>
    <mergeCell ref="K1:L1"/>
    <mergeCell ref="N1:O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Initial dilution</vt:lpstr>
      <vt:lpstr>Normalization and Pooling</vt:lpstr>
      <vt:lpstr>Sample Sheet</vt:lpstr>
      <vt:lpstr>Read Metrics</vt:lpstr>
      <vt:lpstr>Initial DNA Qubit raw data</vt:lpstr>
      <vt:lpstr>Initial DNA Nanodrop raw data</vt:lpstr>
      <vt:lpstr>Pre-clean up Qubit raw data</vt:lpstr>
      <vt:lpstr>Post-clean up Qubit raw data</vt:lpstr>
      <vt:lpstr>Indices</vt:lpstr>
    </vt:vector>
  </TitlesOfParts>
  <Company>Centers for Disease Control and Prevention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Sabol</dc:creator>
  <cp:lastModifiedBy>Jasna Kovac</cp:lastModifiedBy>
  <cp:lastPrinted>2016-10-07T11:48:59Z</cp:lastPrinted>
  <dcterms:created xsi:type="dcterms:W3CDTF">2015-09-30T19:00:33Z</dcterms:created>
  <dcterms:modified xsi:type="dcterms:W3CDTF">2016-10-07T11:55:25Z</dcterms:modified>
</cp:coreProperties>
</file>