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8195" windowHeight="7965" firstSheet="1" activeTab="1"/>
  </bookViews>
  <sheets>
    <sheet name="T-Beam Moment" sheetId="7" r:id="rId1"/>
    <sheet name="Masonry Flexural" sheetId="8" r:id="rId2"/>
    <sheet name="Masonry Flexural Upper" sheetId="11" r:id="rId3"/>
    <sheet name="Concrete Flexural" sheetId="9" r:id="rId4"/>
    <sheet name="Shear Design" sheetId="3" r:id="rId5"/>
    <sheet name="Shear Stirrups" sheetId="5" r:id="rId6"/>
    <sheet name="Shear Diagram" sheetId="6" r:id="rId7"/>
    <sheet name="Lookup Tables" sheetId="4" r:id="rId8"/>
  </sheets>
  <externalReferences>
    <externalReference r:id="rId9"/>
    <externalReference r:id="rId10"/>
  </externalReferences>
  <definedNames>
    <definedName name="a" localSheetId="3">'Concrete Flexural'!$B$33</definedName>
    <definedName name="a" localSheetId="1">'Masonry Flexural'!$B$30</definedName>
    <definedName name="a" localSheetId="2">'Masonry Flexural Upper'!$B$30</definedName>
    <definedName name="a" localSheetId="0">'T-Beam Moment'!$B$44</definedName>
    <definedName name="a">#REF!</definedName>
    <definedName name="aa" localSheetId="2">#REF!</definedName>
    <definedName name="aa">#REF!</definedName>
    <definedName name="amfup">#REF!</definedName>
    <definedName name="As" localSheetId="3">'Concrete Flexural'!$B$26</definedName>
    <definedName name="As" localSheetId="1">'Masonry Flexural'!$B$23</definedName>
    <definedName name="As" localSheetId="2">'Masonry Flexural Upper'!$B$23</definedName>
    <definedName name="As" localSheetId="0">'T-Beam Moment'!$B$37</definedName>
    <definedName name="As">#REF!</definedName>
    <definedName name="Asmfup">#REF!</definedName>
    <definedName name="b" localSheetId="3">'Concrete Flexural'!$B$6</definedName>
    <definedName name="b" localSheetId="1">'Masonry Flexural'!$B$6</definedName>
    <definedName name="b" localSheetId="2">'Masonry Flexural Upper'!$B$6</definedName>
    <definedName name="b" localSheetId="0">'T-Beam Moment'!$B$11</definedName>
    <definedName name="b">#REF!</definedName>
    <definedName name="beta1" localSheetId="3">'Concrete Flexural'!$B$11</definedName>
    <definedName name="beta1" localSheetId="1">'Masonry Flexural'!$B$11</definedName>
    <definedName name="beta1" localSheetId="2">'Masonry Flexural Upper'!$B$11</definedName>
    <definedName name="beta1" localSheetId="0">'T-Beam Moment'!$B$22</definedName>
    <definedName name="beta1">#REF!</definedName>
    <definedName name="beta1mfup">#REF!</definedName>
    <definedName name="bmfup">#REF!</definedName>
    <definedName name="bshear">'[1]1-2'!$B$11</definedName>
    <definedName name="d" localSheetId="3">'Concrete Flexural'!$B$27</definedName>
    <definedName name="d" localSheetId="1">'Masonry Flexural'!$B$24</definedName>
    <definedName name="d" localSheetId="2">'Masonry Flexural Upper'!$B$24</definedName>
    <definedName name="d" localSheetId="0">'T-Beam Moment'!$B$38</definedName>
    <definedName name="d">#REF!</definedName>
    <definedName name="dmfup">#REF!</definedName>
    <definedName name="dshear">'[1]1-2'!$B$45</definedName>
    <definedName name="ey" localSheetId="3">'Concrete Flexural'!$B$29</definedName>
    <definedName name="ey" localSheetId="1">'Masonry Flexural'!$B$26</definedName>
    <definedName name="ey" localSheetId="2">'Masonry Flexural Upper'!$B$26</definedName>
    <definedName name="ey" localSheetId="0">'T-Beam Moment'!$B$40</definedName>
    <definedName name="ey">#REF!</definedName>
    <definedName name="eymfup">#REF!</definedName>
    <definedName name="fc" localSheetId="3">'Concrete Flexural'!$B$10</definedName>
    <definedName name="fc" localSheetId="1">'Masonry Flexural'!#REF!</definedName>
    <definedName name="fc" localSheetId="2">'Masonry Flexural Upper'!#REF!</definedName>
    <definedName name="fc" localSheetId="0">'T-Beam Moment'!$B$21</definedName>
    <definedName name="fc">#REF!</definedName>
    <definedName name="fcbrick" localSheetId="2">'Masonry Flexural Upper'!$B$10</definedName>
    <definedName name="fcbrick">'Masonry Flexural'!$B$10</definedName>
    <definedName name="fcmfup">#REF!</definedName>
    <definedName name="fcshear">'[1]1-2'!$B$29</definedName>
    <definedName name="fy" localSheetId="3">'Concrete Flexural'!$B$25</definedName>
    <definedName name="fy" localSheetId="1">'Masonry Flexural'!$B$22</definedName>
    <definedName name="fy" localSheetId="2">'Masonry Flexural Upper'!$B$22</definedName>
    <definedName name="fy" localSheetId="0">'T-Beam Moment'!$B$36</definedName>
    <definedName name="fy">#REF!</definedName>
    <definedName name="fymfup">#REF!</definedName>
    <definedName name="fyshear">'[1]1-2'!$B$43</definedName>
    <definedName name="t" localSheetId="3">'Concrete Flexural'!#REF!</definedName>
    <definedName name="t" localSheetId="1">'Masonry Flexural'!#REF!</definedName>
    <definedName name="t" localSheetId="2">'Masonry Flexural Upper'!#REF!</definedName>
    <definedName name="t" localSheetId="0">'T-Beam Moment'!$B$5</definedName>
    <definedName name="t">#REF!</definedName>
    <definedName name="tmfup">#REF!</definedName>
  </definedNames>
  <calcPr calcId="125725"/>
</workbook>
</file>

<file path=xl/calcChain.xml><?xml version="1.0" encoding="utf-8"?>
<calcChain xmlns="http://schemas.openxmlformats.org/spreadsheetml/2006/main">
  <c r="B57" i="7"/>
  <c r="B56"/>
  <c r="B21" i="11"/>
  <c r="B12" i="8"/>
  <c r="B5" i="11"/>
  <c r="B8" s="1"/>
  <c r="B6"/>
  <c r="B9" s="1"/>
  <c r="B10"/>
  <c r="B12" s="1"/>
  <c r="B13"/>
  <c r="B22"/>
  <c r="B16"/>
  <c r="B15"/>
  <c r="B18" s="1"/>
  <c r="B23" s="1"/>
  <c r="B28" s="1"/>
  <c r="B39"/>
  <c r="B9" i="8"/>
  <c r="B8"/>
  <c r="B7"/>
  <c r="B7" i="11" s="1"/>
  <c r="B9" i="9"/>
  <c r="B8"/>
  <c r="B7"/>
  <c r="B11" i="3"/>
  <c r="B26" i="11" l="1"/>
  <c r="B19"/>
  <c r="B24" s="1"/>
  <c r="B44" s="1"/>
  <c r="B45" s="1"/>
  <c r="B4" i="3"/>
  <c r="B23"/>
  <c r="B22"/>
  <c r="B21"/>
  <c r="B20"/>
  <c r="B19"/>
  <c r="B18"/>
  <c r="B15"/>
  <c r="B14"/>
  <c r="B11" i="8"/>
  <c r="B11" i="11" s="1"/>
  <c r="B8" i="3"/>
  <c r="B7"/>
  <c r="B42" i="9"/>
  <c r="B29"/>
  <c r="B21"/>
  <c r="B19"/>
  <c r="B27" s="1"/>
  <c r="B18"/>
  <c r="B26" s="1"/>
  <c r="B12"/>
  <c r="B11"/>
  <c r="B39" i="8"/>
  <c r="B26"/>
  <c r="B19"/>
  <c r="B24" s="1"/>
  <c r="B44" s="1"/>
  <c r="B18"/>
  <c r="B23" s="1"/>
  <c r="B9" i="7"/>
  <c r="B13"/>
  <c r="B14"/>
  <c r="B15"/>
  <c r="B16"/>
  <c r="B19"/>
  <c r="B22"/>
  <c r="B23"/>
  <c r="B29"/>
  <c r="B37" s="1"/>
  <c r="B42" s="1"/>
  <c r="B43" s="1"/>
  <c r="B30"/>
  <c r="B31" s="1"/>
  <c r="B34" s="1"/>
  <c r="B40"/>
  <c r="B53"/>
  <c r="B17" l="1"/>
  <c r="B20" i="11"/>
  <c r="B29"/>
  <c r="B30" s="1"/>
  <c r="B38" i="7"/>
  <c r="B58" s="1"/>
  <c r="B59" s="1"/>
  <c r="B31" i="9"/>
  <c r="B47"/>
  <c r="B48" s="1"/>
  <c r="B20"/>
  <c r="B23" s="1"/>
  <c r="B24" s="1"/>
  <c r="B28" i="8"/>
  <c r="B45"/>
  <c r="B20"/>
  <c r="B18" i="7"/>
  <c r="B32"/>
  <c r="B35" s="1"/>
  <c r="B44"/>
  <c r="B45" s="1"/>
  <c r="B48"/>
  <c r="B49" s="1"/>
  <c r="B50" s="1"/>
  <c r="B20"/>
  <c r="B34" i="11" l="1"/>
  <c r="B35" s="1"/>
  <c r="B36" s="1"/>
  <c r="B31"/>
  <c r="B32"/>
  <c r="B33" s="1"/>
  <c r="B46" i="7"/>
  <c r="B47" s="1"/>
  <c r="B54" s="1"/>
  <c r="B55" s="1"/>
  <c r="B32" i="9"/>
  <c r="B33" s="1"/>
  <c r="B34" s="1"/>
  <c r="B29" i="8"/>
  <c r="B30" s="1"/>
  <c r="B31" s="1"/>
  <c r="B40" i="11" l="1"/>
  <c r="B42"/>
  <c r="B37" i="9"/>
  <c r="B38" s="1"/>
  <c r="B39" s="1"/>
  <c r="B35"/>
  <c r="B36" s="1"/>
  <c r="B34" i="8"/>
  <c r="B35" s="1"/>
  <c r="B36" s="1"/>
  <c r="B32"/>
  <c r="B33" s="1"/>
  <c r="B42" s="1"/>
  <c r="B43" i="9" l="1"/>
  <c r="B45"/>
  <c r="B41" i="11"/>
  <c r="B43"/>
  <c r="B40" i="8"/>
  <c r="B25" i="3"/>
  <c r="B26" s="1"/>
  <c r="Z16" s="1"/>
  <c r="B24"/>
  <c r="B17"/>
  <c r="B16"/>
  <c r="D33"/>
  <c r="C33"/>
  <c r="B33"/>
  <c r="B9"/>
  <c r="C12" i="4"/>
  <c r="C11"/>
  <c r="C10"/>
  <c r="C9"/>
  <c r="C8"/>
  <c r="B7"/>
  <c r="C7" s="1"/>
  <c r="B6"/>
  <c r="C6" s="1"/>
  <c r="B5"/>
  <c r="C5" s="1"/>
  <c r="B4"/>
  <c r="C4" s="1"/>
  <c r="B3"/>
  <c r="C3" s="1"/>
  <c r="B2"/>
  <c r="C2" s="1"/>
  <c r="B44" i="9" l="1"/>
  <c r="B46"/>
  <c r="B41" i="8"/>
  <c r="B43"/>
  <c r="Z12" i="3"/>
  <c r="Z8"/>
  <c r="Z15"/>
  <c r="Z7"/>
  <c r="Z11"/>
  <c r="Z13"/>
  <c r="B143"/>
  <c r="B141"/>
  <c r="B139"/>
  <c r="B137"/>
  <c r="B135"/>
  <c r="B133"/>
  <c r="B131"/>
  <c r="B129"/>
  <c r="B127"/>
  <c r="B125"/>
  <c r="B123"/>
  <c r="B121"/>
  <c r="B119"/>
  <c r="B117"/>
  <c r="B115"/>
  <c r="B113"/>
  <c r="B111"/>
  <c r="B109"/>
  <c r="B107"/>
  <c r="B105"/>
  <c r="B103"/>
  <c r="B101"/>
  <c r="B99"/>
  <c r="B97"/>
  <c r="B95"/>
  <c r="B142"/>
  <c r="B138"/>
  <c r="B134"/>
  <c r="B130"/>
  <c r="B126"/>
  <c r="B122"/>
  <c r="B118"/>
  <c r="B114"/>
  <c r="B110"/>
  <c r="B106"/>
  <c r="B102"/>
  <c r="B98"/>
  <c r="B93"/>
  <c r="B91"/>
  <c r="B89"/>
  <c r="B87"/>
  <c r="B85"/>
  <c r="B83"/>
  <c r="B81"/>
  <c r="B79"/>
  <c r="B77"/>
  <c r="B75"/>
  <c r="B73"/>
  <c r="B71"/>
  <c r="B69"/>
  <c r="B67"/>
  <c r="B65"/>
  <c r="B63"/>
  <c r="B61"/>
  <c r="B59"/>
  <c r="B57"/>
  <c r="B55"/>
  <c r="B53"/>
  <c r="B51"/>
  <c r="B49"/>
  <c r="B47"/>
  <c r="B45"/>
  <c r="B43"/>
  <c r="B41"/>
  <c r="B140"/>
  <c r="B136"/>
  <c r="B132"/>
  <c r="B128"/>
  <c r="Y128"/>
  <c r="Z127"/>
  <c r="Y126"/>
  <c r="Z125"/>
  <c r="Y124"/>
  <c r="Z123"/>
  <c r="Y122"/>
  <c r="Z121"/>
  <c r="Y120"/>
  <c r="Z119"/>
  <c r="Y118"/>
  <c r="Z117"/>
  <c r="Y116"/>
  <c r="Z115"/>
  <c r="Y114"/>
  <c r="Z113"/>
  <c r="Y112"/>
  <c r="Z111"/>
  <c r="Y110"/>
  <c r="Z109"/>
  <c r="Y108"/>
  <c r="Z107"/>
  <c r="Y106"/>
  <c r="Z105"/>
  <c r="Y104"/>
  <c r="Z103"/>
  <c r="Y102"/>
  <c r="Z101"/>
  <c r="Y100"/>
  <c r="Z99"/>
  <c r="Y98"/>
  <c r="Z97"/>
  <c r="Y96"/>
  <c r="Z95"/>
  <c r="Y94"/>
  <c r="Z93"/>
  <c r="Y92"/>
  <c r="Z91"/>
  <c r="Y90"/>
  <c r="Z89"/>
  <c r="Y88"/>
  <c r="Z87"/>
  <c r="Z128"/>
  <c r="Y127"/>
  <c r="Z124"/>
  <c r="Y123"/>
  <c r="Z120"/>
  <c r="Y119"/>
  <c r="Z116"/>
  <c r="Y115"/>
  <c r="Z112"/>
  <c r="Y111"/>
  <c r="Z108"/>
  <c r="Y107"/>
  <c r="Z104"/>
  <c r="Y103"/>
  <c r="Z100"/>
  <c r="Y99"/>
  <c r="Z96"/>
  <c r="Y95"/>
  <c r="Z92"/>
  <c r="Y91"/>
  <c r="Z88"/>
  <c r="Y87"/>
  <c r="Y86"/>
  <c r="Z85"/>
  <c r="Y84"/>
  <c r="Z83"/>
  <c r="Y82"/>
  <c r="Z81"/>
  <c r="Y80"/>
  <c r="Z79"/>
  <c r="Y78"/>
  <c r="Z77"/>
  <c r="Y76"/>
  <c r="Z75"/>
  <c r="Y74"/>
  <c r="Z73"/>
  <c r="Y72"/>
  <c r="Z71"/>
  <c r="Y70"/>
  <c r="Z69"/>
  <c r="Y68"/>
  <c r="Z67"/>
  <c r="Y66"/>
  <c r="Z65"/>
  <c r="Y64"/>
  <c r="Z63"/>
  <c r="Y62"/>
  <c r="Z61"/>
  <c r="Y60"/>
  <c r="Z59"/>
  <c r="Y58"/>
  <c r="Z57"/>
  <c r="Y56"/>
  <c r="Z55"/>
  <c r="Y54"/>
  <c r="Z53"/>
  <c r="Y52"/>
  <c r="Z51"/>
  <c r="Y50"/>
  <c r="Z49"/>
  <c r="Y48"/>
  <c r="Z47"/>
  <c r="Y46"/>
  <c r="Z45"/>
  <c r="Y44"/>
  <c r="Z43"/>
  <c r="Y42"/>
  <c r="Z41"/>
  <c r="Y40"/>
  <c r="Z39"/>
  <c r="Y38"/>
  <c r="Z37"/>
  <c r="Y36"/>
  <c r="Z35"/>
  <c r="Y34"/>
  <c r="Z33"/>
  <c r="Y32"/>
  <c r="Y31"/>
  <c r="Y30"/>
  <c r="Y29"/>
  <c r="Z28"/>
  <c r="Y27"/>
  <c r="Y26"/>
  <c r="C34"/>
  <c r="Z25"/>
  <c r="Y24"/>
  <c r="Y23"/>
  <c r="Y22"/>
  <c r="Y21"/>
  <c r="Y20"/>
  <c r="Z19"/>
  <c r="Y18"/>
  <c r="Z17"/>
  <c r="Y16"/>
  <c r="Y15"/>
  <c r="Z14"/>
  <c r="Y13"/>
  <c r="Y12"/>
  <c r="Y11"/>
  <c r="Z9"/>
  <c r="Y8"/>
  <c r="Y7"/>
  <c r="Z126"/>
  <c r="Y125"/>
  <c r="Z122"/>
  <c r="Y121"/>
  <c r="Z18"/>
  <c r="Y19"/>
  <c r="Y25"/>
  <c r="D34"/>
  <c r="Z26"/>
  <c r="Z27"/>
  <c r="Y28"/>
  <c r="Y33"/>
  <c r="Z34"/>
  <c r="B44"/>
  <c r="Y37"/>
  <c r="Z38"/>
  <c r="B48"/>
  <c r="Y41"/>
  <c r="Z42"/>
  <c r="B52"/>
  <c r="Y45"/>
  <c r="Z46"/>
  <c r="B56"/>
  <c r="Y49"/>
  <c r="Z50"/>
  <c r="B60"/>
  <c r="Y53"/>
  <c r="Z54"/>
  <c r="B64"/>
  <c r="Y57"/>
  <c r="Z58"/>
  <c r="B68"/>
  <c r="Y61"/>
  <c r="Z62"/>
  <c r="B72"/>
  <c r="Y65"/>
  <c r="Z66"/>
  <c r="B76"/>
  <c r="Y69"/>
  <c r="Z70"/>
  <c r="B80"/>
  <c r="Y73"/>
  <c r="Z74"/>
  <c r="B84"/>
  <c r="Y77"/>
  <c r="Z78"/>
  <c r="B88"/>
  <c r="Y81"/>
  <c r="Z82"/>
  <c r="B92"/>
  <c r="Y85"/>
  <c r="Z86"/>
  <c r="Y89"/>
  <c r="B100"/>
  <c r="Z94"/>
  <c r="Y97"/>
  <c r="B108"/>
  <c r="Z102"/>
  <c r="Y105"/>
  <c r="B116"/>
  <c r="Z110"/>
  <c r="Y113"/>
  <c r="B124"/>
  <c r="Z118"/>
  <c r="Y9"/>
  <c r="B27"/>
  <c r="B28" s="1"/>
  <c r="B37" s="1"/>
  <c r="Y14"/>
  <c r="Y17"/>
  <c r="Z20"/>
  <c r="Z21"/>
  <c r="Z22"/>
  <c r="Z23"/>
  <c r="Z24"/>
  <c r="B34"/>
  <c r="Z29"/>
  <c r="Z30"/>
  <c r="Z31"/>
  <c r="Z32"/>
  <c r="B42"/>
  <c r="Y35"/>
  <c r="Z36"/>
  <c r="B46"/>
  <c r="Y39"/>
  <c r="Z40"/>
  <c r="B50"/>
  <c r="Y43"/>
  <c r="Z44"/>
  <c r="B54"/>
  <c r="Y47"/>
  <c r="Z48"/>
  <c r="B58"/>
  <c r="Y51"/>
  <c r="Z52"/>
  <c r="B62"/>
  <c r="Y55"/>
  <c r="Z56"/>
  <c r="B66"/>
  <c r="Y59"/>
  <c r="Z60"/>
  <c r="B70"/>
  <c r="Y63"/>
  <c r="Z64"/>
  <c r="B74"/>
  <c r="Y67"/>
  <c r="Z68"/>
  <c r="B78"/>
  <c r="Y71"/>
  <c r="Z72"/>
  <c r="B82"/>
  <c r="Y75"/>
  <c r="Z76"/>
  <c r="B86"/>
  <c r="Y79"/>
  <c r="Z80"/>
  <c r="B90"/>
  <c r="Y83"/>
  <c r="Z84"/>
  <c r="B94"/>
  <c r="B96"/>
  <c r="Z90"/>
  <c r="Y93"/>
  <c r="B104"/>
  <c r="Z98"/>
  <c r="Y101"/>
  <c r="B112"/>
  <c r="Z106"/>
  <c r="Y109"/>
  <c r="B120"/>
  <c r="Z114"/>
  <c r="Y117"/>
  <c r="D96" l="1"/>
  <c r="C96"/>
  <c r="D90"/>
  <c r="C90"/>
  <c r="D82"/>
  <c r="C82"/>
  <c r="D74"/>
  <c r="C74"/>
  <c r="D66"/>
  <c r="C66"/>
  <c r="D58"/>
  <c r="C58"/>
  <c r="D50"/>
  <c r="C50"/>
  <c r="D42"/>
  <c r="C42"/>
  <c r="D124"/>
  <c r="C124"/>
  <c r="D108"/>
  <c r="C108"/>
  <c r="D88"/>
  <c r="C88"/>
  <c r="D80"/>
  <c r="C80"/>
  <c r="D72"/>
  <c r="C72"/>
  <c r="D64"/>
  <c r="C64"/>
  <c r="D56"/>
  <c r="C56"/>
  <c r="D48"/>
  <c r="C48"/>
  <c r="D132"/>
  <c r="C132"/>
  <c r="D140"/>
  <c r="C140"/>
  <c r="D43"/>
  <c r="C43"/>
  <c r="D47"/>
  <c r="C47"/>
  <c r="D51"/>
  <c r="C51"/>
  <c r="D55"/>
  <c r="C55"/>
  <c r="D59"/>
  <c r="C59"/>
  <c r="D63"/>
  <c r="C63"/>
  <c r="D67"/>
  <c r="C67"/>
  <c r="D71"/>
  <c r="C71"/>
  <c r="D75"/>
  <c r="C75"/>
  <c r="D79"/>
  <c r="C79"/>
  <c r="D83"/>
  <c r="C83"/>
  <c r="D87"/>
  <c r="C87"/>
  <c r="D91"/>
  <c r="C91"/>
  <c r="D98"/>
  <c r="C98"/>
  <c r="D106"/>
  <c r="C106"/>
  <c r="D114"/>
  <c r="C114"/>
  <c r="D122"/>
  <c r="C122"/>
  <c r="D130"/>
  <c r="C130"/>
  <c r="D138"/>
  <c r="C138"/>
  <c r="D95"/>
  <c r="C95"/>
  <c r="D99"/>
  <c r="C99"/>
  <c r="D103"/>
  <c r="C103"/>
  <c r="D107"/>
  <c r="C107"/>
  <c r="D111"/>
  <c r="C111"/>
  <c r="D115"/>
  <c r="C115"/>
  <c r="D119"/>
  <c r="C119"/>
  <c r="D123"/>
  <c r="C123"/>
  <c r="D127"/>
  <c r="C127"/>
  <c r="D131"/>
  <c r="C131"/>
  <c r="D135"/>
  <c r="C135"/>
  <c r="D139"/>
  <c r="C139"/>
  <c r="D143"/>
  <c r="C143"/>
  <c r="D112"/>
  <c r="C112"/>
  <c r="D120"/>
  <c r="C120"/>
  <c r="D104"/>
  <c r="C104"/>
  <c r="D94"/>
  <c r="C94"/>
  <c r="D86"/>
  <c r="C86"/>
  <c r="D78"/>
  <c r="C78"/>
  <c r="D70"/>
  <c r="C70"/>
  <c r="D62"/>
  <c r="C62"/>
  <c r="D54"/>
  <c r="C54"/>
  <c r="D46"/>
  <c r="C46"/>
  <c r="D116"/>
  <c r="C116"/>
  <c r="D100"/>
  <c r="C100"/>
  <c r="D92"/>
  <c r="C92"/>
  <c r="D84"/>
  <c r="C84"/>
  <c r="D76"/>
  <c r="C76"/>
  <c r="D68"/>
  <c r="C68"/>
  <c r="D60"/>
  <c r="C60"/>
  <c r="D52"/>
  <c r="C52"/>
  <c r="D44"/>
  <c r="C44"/>
  <c r="D128"/>
  <c r="E128" s="1"/>
  <c r="C128"/>
  <c r="D136"/>
  <c r="E136" s="1"/>
  <c r="C136"/>
  <c r="D41"/>
  <c r="C41"/>
  <c r="D45"/>
  <c r="E45" s="1"/>
  <c r="C45"/>
  <c r="D49"/>
  <c r="E49" s="1"/>
  <c r="C49"/>
  <c r="D53"/>
  <c r="E53" s="1"/>
  <c r="C53"/>
  <c r="D57"/>
  <c r="C57"/>
  <c r="D61"/>
  <c r="E61" s="1"/>
  <c r="C61"/>
  <c r="D65"/>
  <c r="E65" s="1"/>
  <c r="C65"/>
  <c r="D69"/>
  <c r="E69" s="1"/>
  <c r="C69"/>
  <c r="D73"/>
  <c r="E73" s="1"/>
  <c r="C73"/>
  <c r="D77"/>
  <c r="E77" s="1"/>
  <c r="C77"/>
  <c r="D81"/>
  <c r="E81" s="1"/>
  <c r="C81"/>
  <c r="D85"/>
  <c r="E85" s="1"/>
  <c r="C85"/>
  <c r="D89"/>
  <c r="E89" s="1"/>
  <c r="C89"/>
  <c r="D93"/>
  <c r="E93" s="1"/>
  <c r="C93"/>
  <c r="D102"/>
  <c r="E102" s="1"/>
  <c r="C102"/>
  <c r="D110"/>
  <c r="E110" s="1"/>
  <c r="C110"/>
  <c r="D118"/>
  <c r="E118" s="1"/>
  <c r="C118"/>
  <c r="D126"/>
  <c r="E126" s="1"/>
  <c r="C126"/>
  <c r="D134"/>
  <c r="E134" s="1"/>
  <c r="C134"/>
  <c r="D142"/>
  <c r="E142" s="1"/>
  <c r="C142"/>
  <c r="D97"/>
  <c r="E97" s="1"/>
  <c r="C97"/>
  <c r="D101"/>
  <c r="E101" s="1"/>
  <c r="C101"/>
  <c r="D105"/>
  <c r="E105" s="1"/>
  <c r="C105"/>
  <c r="D109"/>
  <c r="E109" s="1"/>
  <c r="C109"/>
  <c r="D113"/>
  <c r="E113" s="1"/>
  <c r="C113"/>
  <c r="D117"/>
  <c r="E117" s="1"/>
  <c r="C117"/>
  <c r="D121"/>
  <c r="E121" s="1"/>
  <c r="C121"/>
  <c r="D125"/>
  <c r="E125" s="1"/>
  <c r="C125"/>
  <c r="D129"/>
  <c r="E129" s="1"/>
  <c r="C129"/>
  <c r="D133"/>
  <c r="E133" s="1"/>
  <c r="C133"/>
  <c r="D137"/>
  <c r="E137" s="1"/>
  <c r="C137"/>
  <c r="D141"/>
  <c r="E141" s="1"/>
  <c r="C141"/>
  <c r="E120"/>
  <c r="G120" s="1"/>
  <c r="E104"/>
  <c r="G104" s="1"/>
  <c r="E90"/>
  <c r="F90" s="1"/>
  <c r="E82"/>
  <c r="F82" s="1"/>
  <c r="E74"/>
  <c r="F74" s="1"/>
  <c r="E66"/>
  <c r="F66" s="1"/>
  <c r="E58"/>
  <c r="F58" s="1"/>
  <c r="E50"/>
  <c r="F50" s="1"/>
  <c r="X127"/>
  <c r="X125"/>
  <c r="X123"/>
  <c r="X121"/>
  <c r="X119"/>
  <c r="X117"/>
  <c r="X115"/>
  <c r="X113"/>
  <c r="X111"/>
  <c r="X109"/>
  <c r="X107"/>
  <c r="X105"/>
  <c r="X103"/>
  <c r="X101"/>
  <c r="X99"/>
  <c r="X97"/>
  <c r="X95"/>
  <c r="X93"/>
  <c r="X91"/>
  <c r="X89"/>
  <c r="X87"/>
  <c r="X126"/>
  <c r="X122"/>
  <c r="X118"/>
  <c r="X114"/>
  <c r="X110"/>
  <c r="X106"/>
  <c r="X102"/>
  <c r="X98"/>
  <c r="X94"/>
  <c r="X90"/>
  <c r="X85"/>
  <c r="X83"/>
  <c r="X81"/>
  <c r="X79"/>
  <c r="X77"/>
  <c r="X75"/>
  <c r="X73"/>
  <c r="X71"/>
  <c r="X69"/>
  <c r="X67"/>
  <c r="X65"/>
  <c r="X63"/>
  <c r="X61"/>
  <c r="X59"/>
  <c r="X57"/>
  <c r="X55"/>
  <c r="X53"/>
  <c r="X51"/>
  <c r="X49"/>
  <c r="X47"/>
  <c r="X45"/>
  <c r="X43"/>
  <c r="X41"/>
  <c r="X39"/>
  <c r="X37"/>
  <c r="X35"/>
  <c r="X33"/>
  <c r="X28"/>
  <c r="X25"/>
  <c r="X19"/>
  <c r="X17"/>
  <c r="X14"/>
  <c r="X9"/>
  <c r="X128"/>
  <c r="X124"/>
  <c r="X120"/>
  <c r="X112"/>
  <c r="X104"/>
  <c r="X96"/>
  <c r="X88"/>
  <c r="X86"/>
  <c r="X82"/>
  <c r="X78"/>
  <c r="X74"/>
  <c r="X70"/>
  <c r="X66"/>
  <c r="X62"/>
  <c r="X58"/>
  <c r="X54"/>
  <c r="X50"/>
  <c r="X46"/>
  <c r="X42"/>
  <c r="X38"/>
  <c r="X34"/>
  <c r="X27"/>
  <c r="X26"/>
  <c r="X18"/>
  <c r="X16"/>
  <c r="X15"/>
  <c r="X13"/>
  <c r="X12"/>
  <c r="X11"/>
  <c r="X8"/>
  <c r="X7"/>
  <c r="X116"/>
  <c r="X108"/>
  <c r="X100"/>
  <c r="X92"/>
  <c r="X84"/>
  <c r="X80"/>
  <c r="X76"/>
  <c r="X72"/>
  <c r="X68"/>
  <c r="X64"/>
  <c r="X60"/>
  <c r="X56"/>
  <c r="X52"/>
  <c r="X48"/>
  <c r="X44"/>
  <c r="X40"/>
  <c r="X36"/>
  <c r="X32"/>
  <c r="X31"/>
  <c r="X30"/>
  <c r="X29"/>
  <c r="X24"/>
  <c r="X23"/>
  <c r="X22"/>
  <c r="X21"/>
  <c r="X20"/>
  <c r="E124"/>
  <c r="F120"/>
  <c r="E108"/>
  <c r="E92"/>
  <c r="E84"/>
  <c r="E76"/>
  <c r="E68"/>
  <c r="E60"/>
  <c r="E52"/>
  <c r="E44"/>
  <c r="E57"/>
  <c r="B36"/>
  <c r="E112"/>
  <c r="E96"/>
  <c r="E94"/>
  <c r="E86"/>
  <c r="E78"/>
  <c r="E70"/>
  <c r="E62"/>
  <c r="E54"/>
  <c r="E46"/>
  <c r="E116"/>
  <c r="E100"/>
  <c r="E88"/>
  <c r="E80"/>
  <c r="E72"/>
  <c r="E64"/>
  <c r="E56"/>
  <c r="E48"/>
  <c r="E132"/>
  <c r="E140"/>
  <c r="E43"/>
  <c r="E47"/>
  <c r="E51"/>
  <c r="E55"/>
  <c r="E59"/>
  <c r="E63"/>
  <c r="E67"/>
  <c r="E71"/>
  <c r="E75"/>
  <c r="E79"/>
  <c r="E83"/>
  <c r="E87"/>
  <c r="E91"/>
  <c r="E98"/>
  <c r="E106"/>
  <c r="E114"/>
  <c r="E122"/>
  <c r="E130"/>
  <c r="E138"/>
  <c r="E95"/>
  <c r="E99"/>
  <c r="E103"/>
  <c r="E107"/>
  <c r="E111"/>
  <c r="E115"/>
  <c r="E119"/>
  <c r="E123"/>
  <c r="E127"/>
  <c r="E131"/>
  <c r="E135"/>
  <c r="E139"/>
  <c r="E143"/>
  <c r="G50" l="1"/>
  <c r="H50"/>
  <c r="H120"/>
  <c r="G82"/>
  <c r="H82"/>
  <c r="G66"/>
  <c r="H66"/>
  <c r="F104"/>
  <c r="H104"/>
  <c r="G90"/>
  <c r="G74"/>
  <c r="G58"/>
  <c r="H58"/>
  <c r="H74"/>
  <c r="H90"/>
  <c r="F139"/>
  <c r="G139"/>
  <c r="H139"/>
  <c r="F131"/>
  <c r="G131"/>
  <c r="H131"/>
  <c r="F123"/>
  <c r="G123"/>
  <c r="H123"/>
  <c r="F115"/>
  <c r="G115"/>
  <c r="H115"/>
  <c r="F107"/>
  <c r="G107"/>
  <c r="H107"/>
  <c r="F99"/>
  <c r="G99"/>
  <c r="H99"/>
  <c r="H138"/>
  <c r="G138"/>
  <c r="F138"/>
  <c r="G122"/>
  <c r="H122"/>
  <c r="F122"/>
  <c r="G106"/>
  <c r="H106"/>
  <c r="F106"/>
  <c r="G91"/>
  <c r="F91"/>
  <c r="H91"/>
  <c r="G83"/>
  <c r="F83"/>
  <c r="H83"/>
  <c r="G75"/>
  <c r="F75"/>
  <c r="H75"/>
  <c r="G67"/>
  <c r="F67"/>
  <c r="H67"/>
  <c r="G59"/>
  <c r="F59"/>
  <c r="H59"/>
  <c r="G51"/>
  <c r="F51"/>
  <c r="H51"/>
  <c r="G43"/>
  <c r="F43"/>
  <c r="H43"/>
  <c r="H132"/>
  <c r="F132"/>
  <c r="G132"/>
  <c r="G48"/>
  <c r="F48"/>
  <c r="H48"/>
  <c r="G56"/>
  <c r="F56"/>
  <c r="H56"/>
  <c r="G64"/>
  <c r="F64"/>
  <c r="H64"/>
  <c r="G72"/>
  <c r="F72"/>
  <c r="H72"/>
  <c r="G80"/>
  <c r="F80"/>
  <c r="H80"/>
  <c r="G88"/>
  <c r="F88"/>
  <c r="H88"/>
  <c r="H100"/>
  <c r="G100"/>
  <c r="F100"/>
  <c r="H116"/>
  <c r="G116"/>
  <c r="F116"/>
  <c r="H46"/>
  <c r="G46"/>
  <c r="F46"/>
  <c r="H62"/>
  <c r="G62"/>
  <c r="F62"/>
  <c r="H78"/>
  <c r="G78"/>
  <c r="F78"/>
  <c r="H94"/>
  <c r="G94"/>
  <c r="F94"/>
  <c r="G137"/>
  <c r="H137"/>
  <c r="F137"/>
  <c r="G129"/>
  <c r="H129"/>
  <c r="F129"/>
  <c r="G121"/>
  <c r="H121"/>
  <c r="F121"/>
  <c r="H113"/>
  <c r="G113"/>
  <c r="F113"/>
  <c r="G105"/>
  <c r="H105"/>
  <c r="F105"/>
  <c r="H97"/>
  <c r="G97"/>
  <c r="F97"/>
  <c r="H134"/>
  <c r="G134"/>
  <c r="F134"/>
  <c r="G118"/>
  <c r="H118"/>
  <c r="F118"/>
  <c r="G102"/>
  <c r="H102"/>
  <c r="F102"/>
  <c r="H89"/>
  <c r="G89"/>
  <c r="F89"/>
  <c r="H81"/>
  <c r="G81"/>
  <c r="F81"/>
  <c r="H73"/>
  <c r="G73"/>
  <c r="F73"/>
  <c r="H65"/>
  <c r="G65"/>
  <c r="F65"/>
  <c r="H57"/>
  <c r="G57"/>
  <c r="F57"/>
  <c r="H49"/>
  <c r="G49"/>
  <c r="F49"/>
  <c r="F136"/>
  <c r="G136"/>
  <c r="H136"/>
  <c r="G44"/>
  <c r="F44"/>
  <c r="H44"/>
  <c r="G52"/>
  <c r="F52"/>
  <c r="H52"/>
  <c r="G60"/>
  <c r="F60"/>
  <c r="H60"/>
  <c r="G68"/>
  <c r="F68"/>
  <c r="H68"/>
  <c r="G76"/>
  <c r="F76"/>
  <c r="H76"/>
  <c r="G84"/>
  <c r="F84"/>
  <c r="H84"/>
  <c r="G92"/>
  <c r="F92"/>
  <c r="H92"/>
  <c r="F108"/>
  <c r="H108"/>
  <c r="G108"/>
  <c r="F124"/>
  <c r="H124"/>
  <c r="G124"/>
  <c r="G143"/>
  <c r="F143"/>
  <c r="H143"/>
  <c r="G135"/>
  <c r="F135"/>
  <c r="H135"/>
  <c r="G127"/>
  <c r="F127"/>
  <c r="H127"/>
  <c r="G119"/>
  <c r="F119"/>
  <c r="H119"/>
  <c r="G111"/>
  <c r="F111"/>
  <c r="H111"/>
  <c r="G103"/>
  <c r="F103"/>
  <c r="H103"/>
  <c r="G95"/>
  <c r="F95"/>
  <c r="H95"/>
  <c r="H130"/>
  <c r="G130"/>
  <c r="F130"/>
  <c r="G114"/>
  <c r="F114"/>
  <c r="H114"/>
  <c r="G98"/>
  <c r="F98"/>
  <c r="H98"/>
  <c r="F87"/>
  <c r="G87"/>
  <c r="H87"/>
  <c r="F79"/>
  <c r="G79"/>
  <c r="H79"/>
  <c r="F71"/>
  <c r="G71"/>
  <c r="H71"/>
  <c r="F63"/>
  <c r="G63"/>
  <c r="H63"/>
  <c r="F55"/>
  <c r="G55"/>
  <c r="H55"/>
  <c r="F47"/>
  <c r="G47"/>
  <c r="H47"/>
  <c r="H140"/>
  <c r="F140"/>
  <c r="G140"/>
  <c r="H54"/>
  <c r="G54"/>
  <c r="F54"/>
  <c r="H70"/>
  <c r="G70"/>
  <c r="F70"/>
  <c r="H86"/>
  <c r="G86"/>
  <c r="F86"/>
  <c r="F96"/>
  <c r="G96"/>
  <c r="H96"/>
  <c r="F112"/>
  <c r="G112"/>
  <c r="H112"/>
  <c r="W128"/>
  <c r="W126"/>
  <c r="W124"/>
  <c r="W122"/>
  <c r="W120"/>
  <c r="W118"/>
  <c r="W116"/>
  <c r="W114"/>
  <c r="W112"/>
  <c r="W110"/>
  <c r="W108"/>
  <c r="W106"/>
  <c r="W104"/>
  <c r="W102"/>
  <c r="W100"/>
  <c r="W98"/>
  <c r="W96"/>
  <c r="W94"/>
  <c r="W92"/>
  <c r="W90"/>
  <c r="W88"/>
  <c r="W125"/>
  <c r="W121"/>
  <c r="W117"/>
  <c r="W113"/>
  <c r="W109"/>
  <c r="W105"/>
  <c r="W101"/>
  <c r="W97"/>
  <c r="W93"/>
  <c r="W89"/>
  <c r="W86"/>
  <c r="W84"/>
  <c r="W82"/>
  <c r="W80"/>
  <c r="W78"/>
  <c r="W76"/>
  <c r="W74"/>
  <c r="W72"/>
  <c r="W70"/>
  <c r="W68"/>
  <c r="W66"/>
  <c r="W64"/>
  <c r="W62"/>
  <c r="W60"/>
  <c r="W58"/>
  <c r="W56"/>
  <c r="W54"/>
  <c r="W52"/>
  <c r="W50"/>
  <c r="W48"/>
  <c r="W46"/>
  <c r="W44"/>
  <c r="W42"/>
  <c r="W40"/>
  <c r="W38"/>
  <c r="W36"/>
  <c r="W34"/>
  <c r="W32"/>
  <c r="W31"/>
  <c r="W30"/>
  <c r="W29"/>
  <c r="W27"/>
  <c r="W26"/>
  <c r="W24"/>
  <c r="W23"/>
  <c r="W22"/>
  <c r="W21"/>
  <c r="W20"/>
  <c r="W18"/>
  <c r="W16"/>
  <c r="W15"/>
  <c r="W13"/>
  <c r="W12"/>
  <c r="W11"/>
  <c r="W8"/>
  <c r="W7"/>
  <c r="W127"/>
  <c r="W123"/>
  <c r="W119"/>
  <c r="W115"/>
  <c r="W107"/>
  <c r="W99"/>
  <c r="W91"/>
  <c r="W85"/>
  <c r="W81"/>
  <c r="W77"/>
  <c r="W73"/>
  <c r="W69"/>
  <c r="W65"/>
  <c r="W61"/>
  <c r="W57"/>
  <c r="W53"/>
  <c r="W49"/>
  <c r="W45"/>
  <c r="W41"/>
  <c r="W37"/>
  <c r="W33"/>
  <c r="W28"/>
  <c r="W25"/>
  <c r="W19"/>
  <c r="W111"/>
  <c r="W103"/>
  <c r="W95"/>
  <c r="W87"/>
  <c r="W83"/>
  <c r="W79"/>
  <c r="W75"/>
  <c r="W71"/>
  <c r="W67"/>
  <c r="W63"/>
  <c r="W59"/>
  <c r="W55"/>
  <c r="W51"/>
  <c r="W47"/>
  <c r="W43"/>
  <c r="W39"/>
  <c r="W35"/>
  <c r="W17"/>
  <c r="W14"/>
  <c r="W9"/>
  <c r="H141"/>
  <c r="G141"/>
  <c r="F141"/>
  <c r="H133"/>
  <c r="G133"/>
  <c r="F133"/>
  <c r="G125"/>
  <c r="H125"/>
  <c r="F125"/>
  <c r="H117"/>
  <c r="G117"/>
  <c r="F117"/>
  <c r="G109"/>
  <c r="H109"/>
  <c r="F109"/>
  <c r="H101"/>
  <c r="G101"/>
  <c r="F101"/>
  <c r="H142"/>
  <c r="G142"/>
  <c r="F142"/>
  <c r="G126"/>
  <c r="H126"/>
  <c r="F126"/>
  <c r="G110"/>
  <c r="H110"/>
  <c r="F110"/>
  <c r="G93"/>
  <c r="H93"/>
  <c r="F93"/>
  <c r="G85"/>
  <c r="H85"/>
  <c r="F85"/>
  <c r="G77"/>
  <c r="H77"/>
  <c r="F77"/>
  <c r="G69"/>
  <c r="H69"/>
  <c r="F69"/>
  <c r="G61"/>
  <c r="H61"/>
  <c r="F61"/>
  <c r="G53"/>
  <c r="H53"/>
  <c r="F53"/>
  <c r="G45"/>
  <c r="H45"/>
  <c r="F45"/>
  <c r="F128"/>
  <c r="G128"/>
  <c r="H128"/>
</calcChain>
</file>

<file path=xl/sharedStrings.xml><?xml version="1.0" encoding="utf-8"?>
<sst xmlns="http://schemas.openxmlformats.org/spreadsheetml/2006/main" count="536" uniqueCount="161">
  <si>
    <t>Slab Thickness</t>
  </si>
  <si>
    <t>in</t>
  </si>
  <si>
    <t>Design Input</t>
  </si>
  <si>
    <t>l/h</t>
  </si>
  <si>
    <t xml:space="preserve">l </t>
  </si>
  <si>
    <t>l2</t>
  </si>
  <si>
    <t>Desing Input</t>
  </si>
  <si>
    <t>h_min</t>
  </si>
  <si>
    <t>(l) / (l/h)</t>
  </si>
  <si>
    <t xml:space="preserve">h </t>
  </si>
  <si>
    <t>bw</t>
  </si>
  <si>
    <t>Beam Spacing</t>
  </si>
  <si>
    <t>ft</t>
  </si>
  <si>
    <t>Beff1</t>
  </si>
  <si>
    <t>0.25*Span Length</t>
  </si>
  <si>
    <t>Beff1a</t>
  </si>
  <si>
    <t>0.25*Span Length, a smaller effective length decreases moments, ignore</t>
  </si>
  <si>
    <t>Beff2</t>
  </si>
  <si>
    <t>bw+16*Slab Thickness</t>
  </si>
  <si>
    <t>Beff3</t>
  </si>
  <si>
    <t>Beam Spacing * 12</t>
  </si>
  <si>
    <t>Beff T Beam</t>
  </si>
  <si>
    <t>Min(Beff1,Beff2,Beff3)</t>
  </si>
  <si>
    <t>in^2</t>
  </si>
  <si>
    <t>Beff T Beam * Slab Thickness</t>
  </si>
  <si>
    <t>Slab Thickness / 2</t>
  </si>
  <si>
    <t>A</t>
  </si>
  <si>
    <t>ybar</t>
  </si>
  <si>
    <t>in^4</t>
  </si>
  <si>
    <t>(1/12)*(Beff T Beam)*(Slab Thickness)^3</t>
  </si>
  <si>
    <t>Ig</t>
  </si>
  <si>
    <t>f'c</t>
  </si>
  <si>
    <t>psi</t>
  </si>
  <si>
    <t>Beta1</t>
  </si>
  <si>
    <t>From Chart</t>
  </si>
  <si>
    <t>Ec</t>
  </si>
  <si>
    <t>57000*sqrt(f'c)</t>
  </si>
  <si>
    <t>Es</t>
  </si>
  <si>
    <t>Reinforcing bar number</t>
  </si>
  <si>
    <t>Reinforcing stirrups number</t>
  </si>
  <si>
    <t>Cover</t>
  </si>
  <si>
    <t>Bar Area</t>
  </si>
  <si>
    <r>
      <t>in</t>
    </r>
    <r>
      <rPr>
        <vertAlign val="superscript"/>
        <sz val="11"/>
        <color theme="1"/>
        <rFont val="Calibri"/>
        <family val="2"/>
        <scheme val="minor"/>
      </rPr>
      <t>2</t>
    </r>
  </si>
  <si>
    <t>Bar to bar clearance</t>
  </si>
  <si>
    <t>MAX(1,bar diameter)</t>
  </si>
  <si>
    <t>Allowable space for flexural bars in beam</t>
  </si>
  <si>
    <t>b-2*Cover-Stirrup diameter*2</t>
  </si>
  <si>
    <t>Number of bars</t>
  </si>
  <si>
    <t>Space used by flexural bars in beam</t>
  </si>
  <si>
    <t>Number of bars*bar diameter+(number of bars-1)*clearance</t>
  </si>
  <si>
    <t>Space used&lt; Space Available</t>
  </si>
  <si>
    <t>fy</t>
  </si>
  <si>
    <t>ksi</t>
  </si>
  <si>
    <t>As</t>
  </si>
  <si>
    <t>Bar Area* Number of bars</t>
  </si>
  <si>
    <t>d</t>
  </si>
  <si>
    <t>Thickness-Cover-Stirrup Diameter-Bar Radius</t>
  </si>
  <si>
    <t>Ultimate Strain of Conc (eu)</t>
  </si>
  <si>
    <t>Yield Strain of Steel (ey)</t>
  </si>
  <si>
    <t>fy/29000</t>
  </si>
  <si>
    <t>Ultimate Tensile Force (T)</t>
  </si>
  <si>
    <t>Kips</t>
  </si>
  <si>
    <t>As*fy</t>
  </si>
  <si>
    <t>Ultimate Compression Force (C)</t>
  </si>
  <si>
    <t>T</t>
  </si>
  <si>
    <t>a</t>
  </si>
  <si>
    <t>C/(0.85*f'c*base)</t>
  </si>
  <si>
    <t>a&lt;Slab Thickness</t>
  </si>
  <si>
    <t>Internal Moment Arm</t>
  </si>
  <si>
    <t>d-a/2</t>
  </si>
  <si>
    <t>Internal Moment, Mn</t>
  </si>
  <si>
    <t>Ft-Kips</t>
  </si>
  <si>
    <t>T*(d-a/2)</t>
  </si>
  <si>
    <t>Dist. from extreme comp. face to N.A. (c)</t>
  </si>
  <si>
    <t>a/beta1</t>
  </si>
  <si>
    <t>Strain in Steel</t>
  </si>
  <si>
    <t>ey/c*(d-c)</t>
  </si>
  <si>
    <t>Phi = 0.9?</t>
  </si>
  <si>
    <t>Strain in steel&gt;0.005</t>
  </si>
  <si>
    <t>Phi</t>
  </si>
  <si>
    <t>Design Requirement</t>
  </si>
  <si>
    <t>Mn*Phi</t>
  </si>
  <si>
    <t>Mn*Phi&gt;Mu</t>
  </si>
  <si>
    <t>Asmin</t>
  </si>
  <si>
    <t>in2</t>
  </si>
  <si>
    <t>As&gt;Asmin</t>
  </si>
  <si>
    <t>Calculated Allowable Loads</t>
  </si>
  <si>
    <t>Beam Design (Positive Moment)</t>
  </si>
  <si>
    <t>min(beff,span/10)</t>
  </si>
  <si>
    <t>Moment from Superposition, Mu</t>
  </si>
  <si>
    <t>Rebar Size</t>
  </si>
  <si>
    <t>Diameter</t>
  </si>
  <si>
    <t>Area</t>
  </si>
  <si>
    <t>Bar Diameter</t>
  </si>
  <si>
    <t>X at Vu = phi*Vc</t>
  </si>
  <si>
    <t>X at Vu = phi*Vc/2</t>
  </si>
  <si>
    <t>d/2</t>
  </si>
  <si>
    <t>kips</t>
  </si>
  <si>
    <t>Span Max Shear</t>
  </si>
  <si>
    <t>klf</t>
  </si>
  <si>
    <t>*Shear transferred to column is negligible and neglected to simplify and be more conservative</t>
  </si>
  <si>
    <t>Increment</t>
  </si>
  <si>
    <t>Calculation from flexural bars</t>
  </si>
  <si>
    <t>vc</t>
  </si>
  <si>
    <t>2*SQRT(f'c)*bw*d/1000</t>
  </si>
  <si>
    <t>phi*vc</t>
  </si>
  <si>
    <t>0.75*vc</t>
  </si>
  <si>
    <t>#3</t>
  </si>
  <si>
    <t>#4</t>
  </si>
  <si>
    <t>#5</t>
  </si>
  <si>
    <t>As (in2)</t>
  </si>
  <si>
    <t>No. Legs</t>
  </si>
  <si>
    <t>Av (in2)</t>
  </si>
  <si>
    <t>As*No. Legs</t>
  </si>
  <si>
    <t>d/2 (in)</t>
  </si>
  <si>
    <t>s (in)</t>
  </si>
  <si>
    <t>Point</t>
  </si>
  <si>
    <t>Shear Diagram</t>
  </si>
  <si>
    <t>Vu (kips)</t>
  </si>
  <si>
    <t>Vu-phi*Vc (kips)</t>
  </si>
  <si>
    <t>h</t>
  </si>
  <si>
    <t>Design Input - One end continuous ACI 318 Building Code Table 9.5</t>
  </si>
  <si>
    <t>Design Input (15cm)</t>
  </si>
  <si>
    <t>Design Input : h&gt;h_min h=beam depth w/ slab (15cm)</t>
  </si>
  <si>
    <t>Design Input (2m)</t>
  </si>
  <si>
    <t>Design Input (1.74m)</t>
  </si>
  <si>
    <t>Reinforcing Steel Requirements</t>
  </si>
  <si>
    <t>Design Input for concrete columns</t>
  </si>
  <si>
    <t>For masonry see 2007 CA Building Code Table 2105A.2.2.1.1 http://ftp.resource.org/bsc.ca.gov/title24_part02_vol02_dice/title24_part02_vol02_page0298.pdf</t>
  </si>
  <si>
    <t>KN-m</t>
  </si>
  <si>
    <t>From MathCAD</t>
  </si>
  <si>
    <t>IF(fc&lt;4440,(200/(fy*1000))*b*d,3*SQRT(fc)/(fy*1000)*b*d)</t>
  </si>
  <si>
    <t>Beam Shear Design</t>
  </si>
  <si>
    <t>Beam Design (moment)</t>
  </si>
  <si>
    <t>T-Beam Flexural Design</t>
  </si>
  <si>
    <t>From MathCAD on 1.99m of wall</t>
  </si>
  <si>
    <t>Masonry Flexural Design</t>
  </si>
  <si>
    <t>Beam width * Slab Thickness</t>
  </si>
  <si>
    <t>(1/12)*(Beam Width)*(Slab Thickness)^3</t>
  </si>
  <si>
    <t>Design Input (2.5cm)</t>
  </si>
  <si>
    <t>RuBottom</t>
  </si>
  <si>
    <t>RuTop</t>
  </si>
  <si>
    <t>KN</t>
  </si>
  <si>
    <t>MAX(RuBottom, RuTop)</t>
  </si>
  <si>
    <t>f'c brick</t>
  </si>
  <si>
    <t>Pmax</t>
  </si>
  <si>
    <t>Hfloc</t>
  </si>
  <si>
    <t>y(ft)</t>
  </si>
  <si>
    <t>Design Input (28cm)</t>
  </si>
  <si>
    <t>From MathCAD of 28cm of wall</t>
  </si>
  <si>
    <t>From MathCAD of 15cm of wall</t>
  </si>
  <si>
    <t>KN/m</t>
  </si>
  <si>
    <t>Design Input (1.99m)</t>
  </si>
  <si>
    <t>a&lt;beam height</t>
  </si>
  <si>
    <t>Design Input (Number of bars in beff)</t>
  </si>
  <si>
    <t>Masonry Flexural Design (1m-1.74m)</t>
  </si>
  <si>
    <t>Masonry Flexural Design (&lt;1m)</t>
  </si>
  <si>
    <t>Design Input (6.5cm)</t>
  </si>
  <si>
    <t>at 0.8m it's 1.35KN-m, this is still strong enough, so we can move the single rebar down.</t>
  </si>
  <si>
    <t>Mn (SI)</t>
  </si>
  <si>
    <t>Mn*Phi (SI)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</si>
</sst>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0"/>
    <numFmt numFmtId="167" formatCode="0.00000"/>
  </numFmts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</fills>
  <borders count="8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auto="1"/>
      </bottom>
      <diagonal/>
    </border>
    <border>
      <left style="medium">
        <color indexed="64"/>
      </left>
      <right/>
      <top style="thin">
        <color indexed="64"/>
      </top>
      <bottom style="thick">
        <color auto="1"/>
      </bottom>
      <diagonal/>
    </border>
    <border>
      <left/>
      <right style="medium">
        <color indexed="64"/>
      </right>
      <top style="thin">
        <color indexed="64"/>
      </top>
      <bottom style="thick">
        <color auto="1"/>
      </bottom>
      <diagonal/>
    </border>
    <border>
      <left/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/>
    <xf numFmtId="0" fontId="0" fillId="0" borderId="4" xfId="0" applyBorder="1"/>
    <xf numFmtId="0" fontId="0" fillId="0" borderId="0" xfId="0" applyBorder="1"/>
    <xf numFmtId="0" fontId="5" fillId="0" borderId="5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6" fillId="0" borderId="8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6" fillId="0" borderId="12" xfId="0" applyFont="1" applyBorder="1" applyAlignment="1">
      <alignment vertical="top"/>
    </xf>
    <xf numFmtId="0" fontId="0" fillId="0" borderId="10" xfId="0" applyFill="1" applyBorder="1" applyAlignment="1">
      <alignment vertical="top"/>
    </xf>
    <xf numFmtId="0" fontId="7" fillId="0" borderId="9" xfId="0" applyFont="1" applyBorder="1" applyAlignment="1">
      <alignment vertical="top"/>
    </xf>
    <xf numFmtId="2" fontId="0" fillId="0" borderId="10" xfId="0" applyNumberFormat="1" applyBorder="1" applyAlignment="1">
      <alignment vertical="top"/>
    </xf>
    <xf numFmtId="0" fontId="0" fillId="0" borderId="11" xfId="0" applyFill="1" applyBorder="1" applyAlignment="1">
      <alignment vertical="top"/>
    </xf>
    <xf numFmtId="0" fontId="6" fillId="0" borderId="12" xfId="0" applyFont="1" applyBorder="1" applyAlignment="1">
      <alignment vertical="top" wrapText="1"/>
    </xf>
    <xf numFmtId="0" fontId="2" fillId="0" borderId="9" xfId="0" applyFont="1" applyBorder="1" applyAlignment="1">
      <alignment vertical="top"/>
    </xf>
    <xf numFmtId="11" fontId="0" fillId="0" borderId="10" xfId="0" applyNumberFormat="1" applyBorder="1" applyAlignment="1">
      <alignment vertical="top"/>
    </xf>
    <xf numFmtId="0" fontId="5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6" fillId="0" borderId="16" xfId="0" applyFont="1" applyBorder="1" applyAlignment="1">
      <alignment vertical="top"/>
    </xf>
    <xf numFmtId="0" fontId="9" fillId="0" borderId="17" xfId="0" applyFont="1" applyBorder="1" applyAlignment="1">
      <alignment vertical="top"/>
    </xf>
    <xf numFmtId="0" fontId="0" fillId="0" borderId="18" xfId="0" applyBorder="1" applyAlignment="1">
      <alignment vertical="top"/>
    </xf>
    <xf numFmtId="0" fontId="6" fillId="0" borderId="19" xfId="0" applyFont="1" applyBorder="1" applyAlignment="1">
      <alignment vertical="top"/>
    </xf>
    <xf numFmtId="0" fontId="7" fillId="0" borderId="9" xfId="0" applyFont="1" applyBorder="1" applyAlignment="1">
      <alignment vertical="top" wrapText="1"/>
    </xf>
    <xf numFmtId="0" fontId="1" fillId="0" borderId="10" xfId="0" applyFont="1" applyFill="1" applyBorder="1" applyAlignment="1">
      <alignment horizontal="right" vertical="top"/>
    </xf>
    <xf numFmtId="0" fontId="7" fillId="0" borderId="13" xfId="0" applyFont="1" applyBorder="1" applyAlignment="1">
      <alignment vertical="top"/>
    </xf>
    <xf numFmtId="164" fontId="0" fillId="0" borderId="14" xfId="0" applyNumberForma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9" xfId="0" quotePrefix="1" applyFont="1" applyBorder="1" applyAlignment="1">
      <alignment vertical="top"/>
    </xf>
    <xf numFmtId="2" fontId="1" fillId="0" borderId="10" xfId="0" applyNumberFormat="1" applyFont="1" applyBorder="1" applyAlignment="1">
      <alignment horizontal="right" vertical="top"/>
    </xf>
    <xf numFmtId="165" fontId="0" fillId="0" borderId="10" xfId="0" applyNumberFormat="1" applyBorder="1" applyAlignment="1">
      <alignment vertical="top"/>
    </xf>
    <xf numFmtId="2" fontId="6" fillId="0" borderId="12" xfId="0" applyNumberFormat="1" applyFont="1" applyBorder="1" applyAlignment="1">
      <alignment vertical="top"/>
    </xf>
    <xf numFmtId="0" fontId="7" fillId="0" borderId="9" xfId="0" quotePrefix="1" applyFont="1" applyBorder="1" applyAlignment="1">
      <alignment vertical="top" wrapText="1"/>
    </xf>
    <xf numFmtId="2" fontId="11" fillId="0" borderId="10" xfId="0" applyNumberFormat="1" applyFont="1" applyBorder="1" applyAlignment="1">
      <alignment vertical="top"/>
    </xf>
    <xf numFmtId="166" fontId="11" fillId="0" borderId="10" xfId="0" applyNumberFormat="1" applyFont="1" applyBorder="1" applyAlignment="1">
      <alignment horizontal="right" vertical="top"/>
    </xf>
    <xf numFmtId="167" fontId="1" fillId="0" borderId="10" xfId="0" applyNumberFormat="1" applyFont="1" applyBorder="1" applyAlignment="1">
      <alignment horizontal="right" vertical="top"/>
    </xf>
    <xf numFmtId="165" fontId="1" fillId="0" borderId="10" xfId="0" applyNumberFormat="1" applyFont="1" applyBorder="1" applyAlignment="1">
      <alignment vertical="top"/>
    </xf>
    <xf numFmtId="0" fontId="2" fillId="0" borderId="24" xfId="0" applyFont="1" applyBorder="1" applyAlignment="1">
      <alignment vertical="top"/>
    </xf>
    <xf numFmtId="2" fontId="0" fillId="0" borderId="25" xfId="0" applyNumberFormat="1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27" xfId="0" applyBorder="1" applyAlignment="1">
      <alignment vertical="top" wrapText="1"/>
    </xf>
    <xf numFmtId="0" fontId="2" fillId="0" borderId="20" xfId="0" applyFont="1" applyFill="1" applyBorder="1" applyAlignment="1">
      <alignment vertical="top"/>
    </xf>
    <xf numFmtId="165" fontId="1" fillId="0" borderId="21" xfId="0" applyNumberFormat="1" applyFont="1" applyBorder="1" applyAlignment="1">
      <alignment horizontal="right" vertical="top"/>
    </xf>
    <xf numFmtId="0" fontId="0" fillId="0" borderId="28" xfId="0" applyBorder="1"/>
    <xf numFmtId="0" fontId="0" fillId="0" borderId="23" xfId="0" applyBorder="1"/>
    <xf numFmtId="0" fontId="0" fillId="0" borderId="22" xfId="0" applyBorder="1"/>
    <xf numFmtId="0" fontId="0" fillId="0" borderId="10" xfId="0" applyBorder="1"/>
    <xf numFmtId="0" fontId="0" fillId="0" borderId="11" xfId="0" applyBorder="1"/>
    <xf numFmtId="0" fontId="6" fillId="0" borderId="11" xfId="0" applyFont="1" applyBorder="1"/>
    <xf numFmtId="2" fontId="0" fillId="0" borderId="10" xfId="0" applyNumberFormat="1" applyBorder="1"/>
    <xf numFmtId="2" fontId="0" fillId="0" borderId="21" xfId="0" applyNumberFormat="1" applyBorder="1"/>
    <xf numFmtId="164" fontId="0" fillId="0" borderId="10" xfId="0" applyNumberFormat="1" applyBorder="1" applyAlignment="1">
      <alignment vertical="top"/>
    </xf>
    <xf numFmtId="0" fontId="0" fillId="0" borderId="30" xfId="0" applyBorder="1"/>
    <xf numFmtId="0" fontId="0" fillId="0" borderId="31" xfId="0" applyBorder="1"/>
    <xf numFmtId="0" fontId="6" fillId="0" borderId="30" xfId="0" applyFont="1" applyBorder="1"/>
    <xf numFmtId="0" fontId="0" fillId="0" borderId="32" xfId="0" applyBorder="1"/>
    <xf numFmtId="0" fontId="0" fillId="0" borderId="33" xfId="0" applyBorder="1"/>
    <xf numFmtId="0" fontId="5" fillId="0" borderId="9" xfId="0" applyFont="1" applyBorder="1"/>
    <xf numFmtId="0" fontId="1" fillId="0" borderId="10" xfId="0" applyFont="1" applyBorder="1"/>
    <xf numFmtId="0" fontId="0" fillId="0" borderId="34" xfId="0" applyBorder="1"/>
    <xf numFmtId="0" fontId="0" fillId="0" borderId="12" xfId="0" applyBorder="1"/>
    <xf numFmtId="2" fontId="0" fillId="0" borderId="0" xfId="0" applyNumberFormat="1"/>
    <xf numFmtId="0" fontId="2" fillId="0" borderId="9" xfId="0" applyFont="1" applyBorder="1" applyAlignment="1">
      <alignment wrapText="1"/>
    </xf>
    <xf numFmtId="0" fontId="6" fillId="0" borderId="10" xfId="0" applyFont="1" applyBorder="1"/>
    <xf numFmtId="0" fontId="6" fillId="0" borderId="34" xfId="0" applyFont="1" applyBorder="1"/>
    <xf numFmtId="0" fontId="6" fillId="0" borderId="12" xfId="0" applyFont="1" applyBorder="1"/>
    <xf numFmtId="0" fontId="2" fillId="0" borderId="9" xfId="0" applyFont="1" applyBorder="1"/>
    <xf numFmtId="0" fontId="5" fillId="0" borderId="20" xfId="0" applyFont="1" applyBorder="1"/>
    <xf numFmtId="0" fontId="0" fillId="0" borderId="21" xfId="0" applyBorder="1"/>
    <xf numFmtId="0" fontId="2" fillId="0" borderId="0" xfId="0" applyFont="1"/>
    <xf numFmtId="0" fontId="6" fillId="0" borderId="32" xfId="0" applyFont="1" applyBorder="1"/>
    <xf numFmtId="0" fontId="2" fillId="0" borderId="20" xfId="0" applyFont="1" applyBorder="1"/>
    <xf numFmtId="0" fontId="6" fillId="0" borderId="28" xfId="0" applyFont="1" applyBorder="1"/>
    <xf numFmtId="0" fontId="2" fillId="0" borderId="35" xfId="0" applyFont="1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2" fillId="0" borderId="40" xfId="0" applyFont="1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5" fillId="0" borderId="45" xfId="0" applyFont="1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2" fillId="0" borderId="45" xfId="0" applyFont="1" applyBorder="1"/>
    <xf numFmtId="0" fontId="6" fillId="0" borderId="49" xfId="0" applyFont="1" applyBorder="1"/>
    <xf numFmtId="0" fontId="2" fillId="0" borderId="50" xfId="0" applyFont="1" applyBorder="1"/>
    <xf numFmtId="2" fontId="0" fillId="0" borderId="51" xfId="0" applyNumberFormat="1" applyBorder="1"/>
    <xf numFmtId="2" fontId="0" fillId="0" borderId="52" xfId="0" applyNumberFormat="1" applyBorder="1"/>
    <xf numFmtId="2" fontId="0" fillId="0" borderId="53" xfId="0" applyNumberFormat="1" applyBorder="1"/>
    <xf numFmtId="0" fontId="6" fillId="0" borderId="54" xfId="0" applyFont="1" applyBorder="1"/>
    <xf numFmtId="0" fontId="2" fillId="0" borderId="55" xfId="0" applyFont="1" applyBorder="1" applyAlignment="1">
      <alignment wrapText="1"/>
    </xf>
    <xf numFmtId="2" fontId="0" fillId="0" borderId="56" xfId="0" applyNumberFormat="1" applyBorder="1"/>
    <xf numFmtId="0" fontId="2" fillId="0" borderId="50" xfId="0" applyFont="1" applyBorder="1" applyAlignment="1">
      <alignment wrapText="1"/>
    </xf>
    <xf numFmtId="2" fontId="0" fillId="0" borderId="54" xfId="0" applyNumberFormat="1" applyBorder="1"/>
    <xf numFmtId="0" fontId="2" fillId="0" borderId="1" xfId="0" applyFont="1" applyBorder="1"/>
    <xf numFmtId="0" fontId="2" fillId="0" borderId="2" xfId="0" applyFont="1" applyBorder="1"/>
    <xf numFmtId="0" fontId="2" fillId="0" borderId="59" xfId="0" applyFont="1" applyBorder="1"/>
    <xf numFmtId="0" fontId="2" fillId="0" borderId="60" xfId="0" applyFont="1" applyBorder="1"/>
    <xf numFmtId="0" fontId="2" fillId="0" borderId="61" xfId="0" applyFont="1" applyBorder="1"/>
    <xf numFmtId="0" fontId="2" fillId="0" borderId="62" xfId="0" applyFont="1" applyBorder="1"/>
    <xf numFmtId="0" fontId="2" fillId="0" borderId="63" xfId="0" applyFont="1" applyBorder="1"/>
    <xf numFmtId="0" fontId="2" fillId="0" borderId="64" xfId="0" applyFont="1" applyBorder="1"/>
    <xf numFmtId="0" fontId="2" fillId="0" borderId="65" xfId="0" applyFont="1" applyBorder="1"/>
    <xf numFmtId="0" fontId="6" fillId="0" borderId="66" xfId="0" applyFont="1" applyBorder="1"/>
    <xf numFmtId="0" fontId="6" fillId="0" borderId="43" xfId="0" applyFont="1" applyBorder="1"/>
    <xf numFmtId="165" fontId="6" fillId="0" borderId="67" xfId="0" applyNumberFormat="1" applyFont="1" applyBorder="1"/>
    <xf numFmtId="165" fontId="6" fillId="0" borderId="42" xfId="0" applyNumberFormat="1" applyFont="1" applyBorder="1"/>
    <xf numFmtId="0" fontId="0" fillId="0" borderId="68" xfId="0" applyBorder="1"/>
    <xf numFmtId="0" fontId="0" fillId="0" borderId="69" xfId="0" applyBorder="1"/>
    <xf numFmtId="0" fontId="6" fillId="0" borderId="70" xfId="0" applyFont="1" applyBorder="1"/>
    <xf numFmtId="0" fontId="6" fillId="0" borderId="48" xfId="0" applyFont="1" applyBorder="1"/>
    <xf numFmtId="0" fontId="0" fillId="0" borderId="71" xfId="0" applyBorder="1"/>
    <xf numFmtId="0" fontId="0" fillId="0" borderId="72" xfId="0" applyBorder="1"/>
    <xf numFmtId="0" fontId="0" fillId="0" borderId="70" xfId="0" applyBorder="1"/>
    <xf numFmtId="2" fontId="0" fillId="0" borderId="71" xfId="0" applyNumberFormat="1" applyBorder="1"/>
    <xf numFmtId="2" fontId="0" fillId="0" borderId="46" xfId="0" applyNumberFormat="1" applyBorder="1"/>
    <xf numFmtId="2" fontId="0" fillId="0" borderId="47" xfId="0" applyNumberFormat="1" applyBorder="1"/>
    <xf numFmtId="2" fontId="0" fillId="0" borderId="72" xfId="0" applyNumberFormat="1" applyBorder="1"/>
    <xf numFmtId="0" fontId="0" fillId="0" borderId="73" xfId="0" applyBorder="1"/>
    <xf numFmtId="0" fontId="0" fillId="0" borderId="53" xfId="0" applyBorder="1"/>
    <xf numFmtId="2" fontId="0" fillId="0" borderId="74" xfId="0" applyNumberFormat="1" applyBorder="1"/>
    <xf numFmtId="2" fontId="0" fillId="0" borderId="75" xfId="0" applyNumberFormat="1" applyBorder="1"/>
    <xf numFmtId="0" fontId="5" fillId="0" borderId="29" xfId="0" applyFont="1" applyBorder="1"/>
    <xf numFmtId="0" fontId="0" fillId="0" borderId="25" xfId="0" applyBorder="1" applyAlignment="1">
      <alignment vertical="top"/>
    </xf>
    <xf numFmtId="0" fontId="7" fillId="0" borderId="29" xfId="0" applyFont="1" applyBorder="1"/>
    <xf numFmtId="0" fontId="7" fillId="0" borderId="9" xfId="0" applyFont="1" applyBorder="1"/>
    <xf numFmtId="0" fontId="7" fillId="0" borderId="24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7" fillId="3" borderId="9" xfId="0" applyFont="1" applyFill="1" applyBorder="1" applyAlignment="1">
      <alignment vertical="top"/>
    </xf>
    <xf numFmtId="2" fontId="0" fillId="3" borderId="10" xfId="0" applyNumberFormat="1" applyFill="1" applyBorder="1" applyAlignment="1">
      <alignment vertical="top"/>
    </xf>
    <xf numFmtId="0" fontId="0" fillId="3" borderId="11" xfId="0" applyFill="1" applyBorder="1" applyAlignment="1">
      <alignment vertical="top"/>
    </xf>
    <xf numFmtId="2" fontId="1" fillId="3" borderId="12" xfId="0" applyNumberFormat="1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165" fontId="1" fillId="3" borderId="10" xfId="0" applyNumberFormat="1" applyFont="1" applyFill="1" applyBorder="1" applyAlignment="1">
      <alignment vertical="top"/>
    </xf>
    <xf numFmtId="2" fontId="6" fillId="3" borderId="12" xfId="0" applyNumberFormat="1" applyFont="1" applyFill="1" applyBorder="1" applyAlignment="1">
      <alignment vertical="top"/>
    </xf>
    <xf numFmtId="165" fontId="1" fillId="3" borderId="10" xfId="0" applyNumberFormat="1" applyFont="1" applyFill="1" applyBorder="1" applyAlignment="1">
      <alignment horizontal="right" vertical="top"/>
    </xf>
    <xf numFmtId="2" fontId="1" fillId="0" borderId="10" xfId="0" applyNumberFormat="1" applyFont="1" applyBorder="1" applyAlignment="1">
      <alignment vertical="top"/>
    </xf>
    <xf numFmtId="0" fontId="0" fillId="0" borderId="76" xfId="0" applyBorder="1"/>
    <xf numFmtId="0" fontId="0" fillId="0" borderId="77" xfId="0" applyBorder="1"/>
    <xf numFmtId="0" fontId="0" fillId="0" borderId="78" xfId="0" applyBorder="1"/>
    <xf numFmtId="0" fontId="0" fillId="0" borderId="79" xfId="0" applyBorder="1"/>
    <xf numFmtId="1" fontId="0" fillId="0" borderId="10" xfId="0" applyNumberFormat="1" applyBorder="1" applyAlignment="1">
      <alignment vertical="top"/>
    </xf>
    <xf numFmtId="2" fontId="0" fillId="0" borderId="30" xfId="0" applyNumberFormat="1" applyBorder="1"/>
    <xf numFmtId="2" fontId="0" fillId="0" borderId="76" xfId="0" applyNumberFormat="1" applyBorder="1"/>
    <xf numFmtId="165" fontId="11" fillId="0" borderId="67" xfId="0" applyNumberFormat="1" applyFont="1" applyBorder="1"/>
    <xf numFmtId="165" fontId="11" fillId="0" borderId="0" xfId="0" applyNumberFormat="1" applyFont="1" applyBorder="1"/>
    <xf numFmtId="165" fontId="11" fillId="0" borderId="42" xfId="0" applyNumberFormat="1" applyFont="1" applyBorder="1"/>
    <xf numFmtId="165" fontId="11" fillId="0" borderId="80" xfId="0" applyNumberFormat="1" applyFont="1" applyBorder="1"/>
    <xf numFmtId="165" fontId="11" fillId="0" borderId="2" xfId="0" applyNumberFormat="1" applyFont="1" applyBorder="1"/>
    <xf numFmtId="165" fontId="11" fillId="0" borderId="81" xfId="0" applyNumberFormat="1" applyFont="1" applyBorder="1"/>
    <xf numFmtId="0" fontId="5" fillId="3" borderId="9" xfId="0" applyFont="1" applyFill="1" applyBorder="1" applyAlignment="1">
      <alignment vertical="top"/>
    </xf>
    <xf numFmtId="165" fontId="0" fillId="3" borderId="10" xfId="0" applyNumberFormat="1" applyFill="1" applyBorder="1" applyAlignment="1">
      <alignment vertical="top"/>
    </xf>
    <xf numFmtId="2" fontId="1" fillId="3" borderId="10" xfId="0" applyNumberFormat="1" applyFont="1" applyFill="1" applyBorder="1" applyAlignment="1">
      <alignment vertical="top"/>
    </xf>
    <xf numFmtId="0" fontId="5" fillId="0" borderId="9" xfId="0" applyFont="1" applyBorder="1" applyAlignment="1">
      <alignment wrapText="1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2" borderId="17" xfId="0" applyFont="1" applyFill="1" applyBorder="1" applyAlignment="1">
      <alignment vertical="top"/>
    </xf>
    <xf numFmtId="0" fontId="10" fillId="0" borderId="18" xfId="0" applyFont="1" applyBorder="1" applyAlignment="1">
      <alignment vertical="top"/>
    </xf>
    <xf numFmtId="0" fontId="0" fillId="0" borderId="19" xfId="0" applyBorder="1" applyAlignment="1">
      <alignment vertical="top"/>
    </xf>
    <xf numFmtId="0" fontId="6" fillId="0" borderId="10" xfId="0" applyFont="1" applyBorder="1" applyAlignment="1">
      <alignment wrapText="1"/>
    </xf>
    <xf numFmtId="0" fontId="6" fillId="0" borderId="34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6" fillId="0" borderId="28" xfId="0" applyFont="1" applyBorder="1" applyAlignment="1">
      <alignment wrapText="1"/>
    </xf>
    <xf numFmtId="0" fontId="6" fillId="0" borderId="23" xfId="0" applyFont="1" applyBorder="1" applyAlignment="1">
      <alignment wrapText="1"/>
    </xf>
    <xf numFmtId="0" fontId="2" fillId="0" borderId="57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0" fillId="0" borderId="76" xfId="0" applyBorder="1" applyAlignment="1">
      <alignment vertical="top"/>
    </xf>
    <xf numFmtId="0" fontId="4" fillId="0" borderId="29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33" xfId="0" applyFont="1" applyBorder="1" applyAlignment="1">
      <alignment horizontal="left" vertical="top"/>
    </xf>
    <xf numFmtId="0" fontId="2" fillId="3" borderId="24" xfId="0" applyFont="1" applyFill="1" applyBorder="1" applyAlignment="1">
      <alignment vertical="top"/>
    </xf>
    <xf numFmtId="0" fontId="0" fillId="3" borderId="26" xfId="0" applyFill="1" applyBorder="1" applyAlignment="1">
      <alignment vertical="top"/>
    </xf>
    <xf numFmtId="2" fontId="6" fillId="3" borderId="27" xfId="0" applyNumberFormat="1" applyFont="1" applyFill="1" applyBorder="1" applyAlignment="1">
      <alignment vertical="top"/>
    </xf>
    <xf numFmtId="2" fontId="1" fillId="3" borderId="25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Stirrup</a:t>
            </a:r>
            <a:r>
              <a:rPr lang="en-US" baseline="0"/>
              <a:t> Spacing</a:t>
            </a:r>
            <a:endParaRPr lang="en-US"/>
          </a:p>
        </c:rich>
      </c:tx>
    </c:title>
    <c:plotArea>
      <c:layout>
        <c:manualLayout>
          <c:layoutTarget val="inner"/>
          <c:xMode val="edge"/>
          <c:yMode val="edge"/>
          <c:x val="0.13904613357642365"/>
          <c:y val="0.10072425865976807"/>
          <c:w val="0.73770030318537472"/>
          <c:h val="0.77076369942087886"/>
        </c:manualLayout>
      </c:layout>
      <c:scatterChart>
        <c:scatterStyle val="smoothMarker"/>
        <c:ser>
          <c:idx val="0"/>
          <c:order val="0"/>
          <c:tx>
            <c:v>#3</c:v>
          </c:tx>
          <c:marker>
            <c:symbol val="none"/>
          </c:marker>
          <c:xVal>
            <c:numRef>
              <c:f>'Shear Design'!$B$43:$B$102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xVal>
          <c:yVal>
            <c:numRef>
              <c:f>'Shear Design'!$F$43:$F$102</c:f>
              <c:numCache>
                <c:formatCode>0.00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#4</c:v>
          </c:tx>
          <c:marker>
            <c:symbol val="none"/>
          </c:marker>
          <c:xVal>
            <c:numRef>
              <c:f>'Shear Design'!$B$43:$B$102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xVal>
          <c:yVal>
            <c:numRef>
              <c:f>'Shear Design'!$G$43:$G$102</c:f>
              <c:numCache>
                <c:formatCode>0.00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v>#5</c:v>
          </c:tx>
          <c:marker>
            <c:symbol val="none"/>
          </c:marker>
          <c:xVal>
            <c:numRef>
              <c:f>'Shear Design'!$B$43:$B$102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xVal>
          <c:yVal>
            <c:numRef>
              <c:f>'Shear Design'!$H$43:$H$102</c:f>
              <c:numCache>
                <c:formatCode>0.00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v>Vu=phi*Vc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'Shear Design'!$W$7:$W$128</c:f>
              <c:numCache>
                <c:formatCode>General</c:formatCode>
                <c:ptCount val="122"/>
                <c:pt idx="0">
                  <c:v>1.9205098129947689</c:v>
                </c:pt>
                <c:pt idx="1">
                  <c:v>1.9205098129947689</c:v>
                </c:pt>
                <c:pt idx="2">
                  <c:v>1.9205098129947689</c:v>
                </c:pt>
                <c:pt idx="4">
                  <c:v>1.9205098129947689</c:v>
                </c:pt>
                <c:pt idx="5">
                  <c:v>1.9205098129947689</c:v>
                </c:pt>
                <c:pt idx="6">
                  <c:v>1.9205098129947689</c:v>
                </c:pt>
                <c:pt idx="7">
                  <c:v>1.9205098129947689</c:v>
                </c:pt>
                <c:pt idx="8">
                  <c:v>1.9205098129947689</c:v>
                </c:pt>
                <c:pt idx="9">
                  <c:v>1.9205098129947689</c:v>
                </c:pt>
                <c:pt idx="10">
                  <c:v>1.9205098129947689</c:v>
                </c:pt>
                <c:pt idx="11">
                  <c:v>1.9205098129947689</c:v>
                </c:pt>
                <c:pt idx="12">
                  <c:v>1.9205098129947689</c:v>
                </c:pt>
                <c:pt idx="13">
                  <c:v>1.9205098129947689</c:v>
                </c:pt>
                <c:pt idx="14">
                  <c:v>1.9205098129947689</c:v>
                </c:pt>
                <c:pt idx="15">
                  <c:v>1.9205098129947689</c:v>
                </c:pt>
                <c:pt idx="16">
                  <c:v>1.9205098129947689</c:v>
                </c:pt>
                <c:pt idx="17">
                  <c:v>1.9205098129947689</c:v>
                </c:pt>
                <c:pt idx="18">
                  <c:v>1.9205098129947689</c:v>
                </c:pt>
                <c:pt idx="19">
                  <c:v>1.9205098129947689</c:v>
                </c:pt>
                <c:pt idx="20">
                  <c:v>1.9205098129947689</c:v>
                </c:pt>
                <c:pt idx="21">
                  <c:v>1.9205098129947689</c:v>
                </c:pt>
                <c:pt idx="22">
                  <c:v>1.9205098129947689</c:v>
                </c:pt>
                <c:pt idx="23">
                  <c:v>1.9205098129947689</c:v>
                </c:pt>
                <c:pt idx="24">
                  <c:v>1.9205098129947689</c:v>
                </c:pt>
                <c:pt idx="25">
                  <c:v>1.9205098129947689</c:v>
                </c:pt>
                <c:pt idx="26">
                  <c:v>1.9205098129947689</c:v>
                </c:pt>
                <c:pt idx="27">
                  <c:v>1.9205098129947689</c:v>
                </c:pt>
                <c:pt idx="28">
                  <c:v>1.9205098129947689</c:v>
                </c:pt>
                <c:pt idx="29">
                  <c:v>1.9205098129947689</c:v>
                </c:pt>
                <c:pt idx="30">
                  <c:v>1.9205098129947689</c:v>
                </c:pt>
                <c:pt idx="31">
                  <c:v>1.9205098129947689</c:v>
                </c:pt>
                <c:pt idx="32">
                  <c:v>1.9205098129947689</c:v>
                </c:pt>
                <c:pt idx="33">
                  <c:v>1.9205098129947689</c:v>
                </c:pt>
                <c:pt idx="34">
                  <c:v>1.9205098129947689</c:v>
                </c:pt>
                <c:pt idx="35">
                  <c:v>1.9205098129947689</c:v>
                </c:pt>
                <c:pt idx="36">
                  <c:v>1.9205098129947689</c:v>
                </c:pt>
                <c:pt idx="37">
                  <c:v>1.9205098129947689</c:v>
                </c:pt>
                <c:pt idx="38">
                  <c:v>1.9205098129947689</c:v>
                </c:pt>
                <c:pt idx="39">
                  <c:v>1.9205098129947689</c:v>
                </c:pt>
                <c:pt idx="40">
                  <c:v>1.9205098129947689</c:v>
                </c:pt>
                <c:pt idx="41">
                  <c:v>1.9205098129947689</c:v>
                </c:pt>
                <c:pt idx="42">
                  <c:v>1.9205098129947689</c:v>
                </c:pt>
                <c:pt idx="43">
                  <c:v>1.9205098129947689</c:v>
                </c:pt>
                <c:pt idx="44">
                  <c:v>1.9205098129947689</c:v>
                </c:pt>
                <c:pt idx="45">
                  <c:v>1.9205098129947689</c:v>
                </c:pt>
                <c:pt idx="46">
                  <c:v>1.9205098129947689</c:v>
                </c:pt>
                <c:pt idx="47">
                  <c:v>1.9205098129947689</c:v>
                </c:pt>
                <c:pt idx="48">
                  <c:v>1.9205098129947689</c:v>
                </c:pt>
                <c:pt idx="49">
                  <c:v>1.9205098129947689</c:v>
                </c:pt>
                <c:pt idx="50">
                  <c:v>1.9205098129947689</c:v>
                </c:pt>
                <c:pt idx="51">
                  <c:v>1.9205098129947689</c:v>
                </c:pt>
                <c:pt idx="52">
                  <c:v>1.9205098129947689</c:v>
                </c:pt>
                <c:pt idx="53">
                  <c:v>1.9205098129947689</c:v>
                </c:pt>
                <c:pt idx="54">
                  <c:v>1.9205098129947689</c:v>
                </c:pt>
                <c:pt idx="55">
                  <c:v>1.9205098129947689</c:v>
                </c:pt>
                <c:pt idx="56">
                  <c:v>1.9205098129947689</c:v>
                </c:pt>
                <c:pt idx="57">
                  <c:v>1.9205098129947689</c:v>
                </c:pt>
                <c:pt idx="58">
                  <c:v>1.9205098129947689</c:v>
                </c:pt>
                <c:pt idx="59">
                  <c:v>1.9205098129947689</c:v>
                </c:pt>
                <c:pt idx="60">
                  <c:v>1.9205098129947689</c:v>
                </c:pt>
                <c:pt idx="61">
                  <c:v>1.9205098129947689</c:v>
                </c:pt>
                <c:pt idx="62">
                  <c:v>1.9205098129947689</c:v>
                </c:pt>
                <c:pt idx="63">
                  <c:v>1.9205098129947689</c:v>
                </c:pt>
                <c:pt idx="64">
                  <c:v>1.9205098129947689</c:v>
                </c:pt>
                <c:pt idx="65">
                  <c:v>1.9205098129947689</c:v>
                </c:pt>
                <c:pt idx="66">
                  <c:v>1.9205098129947689</c:v>
                </c:pt>
                <c:pt idx="67">
                  <c:v>1.9205098129947689</c:v>
                </c:pt>
                <c:pt idx="68">
                  <c:v>1.9205098129947689</c:v>
                </c:pt>
                <c:pt idx="69">
                  <c:v>1.9205098129947689</c:v>
                </c:pt>
                <c:pt idx="70">
                  <c:v>1.9205098129947689</c:v>
                </c:pt>
                <c:pt idx="71">
                  <c:v>1.9205098129947689</c:v>
                </c:pt>
                <c:pt idx="72">
                  <c:v>1.9205098129947689</c:v>
                </c:pt>
                <c:pt idx="73">
                  <c:v>1.9205098129947689</c:v>
                </c:pt>
                <c:pt idx="74">
                  <c:v>1.9205098129947689</c:v>
                </c:pt>
                <c:pt idx="75">
                  <c:v>1.9205098129947689</c:v>
                </c:pt>
                <c:pt idx="76">
                  <c:v>1.9205098129947689</c:v>
                </c:pt>
                <c:pt idx="77">
                  <c:v>1.9205098129947689</c:v>
                </c:pt>
                <c:pt idx="78">
                  <c:v>1.9205098129947689</c:v>
                </c:pt>
                <c:pt idx="79">
                  <c:v>1.9205098129947689</c:v>
                </c:pt>
                <c:pt idx="80">
                  <c:v>1.9205098129947689</c:v>
                </c:pt>
                <c:pt idx="81">
                  <c:v>1.9205098129947689</c:v>
                </c:pt>
                <c:pt idx="82">
                  <c:v>1.9205098129947689</c:v>
                </c:pt>
                <c:pt idx="83">
                  <c:v>1.9205098129947689</c:v>
                </c:pt>
                <c:pt idx="84">
                  <c:v>1.9205098129947689</c:v>
                </c:pt>
                <c:pt idx="85">
                  <c:v>1.9205098129947689</c:v>
                </c:pt>
                <c:pt idx="86">
                  <c:v>1.9205098129947689</c:v>
                </c:pt>
                <c:pt idx="87">
                  <c:v>1.9205098129947689</c:v>
                </c:pt>
                <c:pt idx="88">
                  <c:v>1.9205098129947689</c:v>
                </c:pt>
                <c:pt idx="89">
                  <c:v>1.9205098129947689</c:v>
                </c:pt>
                <c:pt idx="90">
                  <c:v>1.9205098129947689</c:v>
                </c:pt>
                <c:pt idx="91">
                  <c:v>1.9205098129947689</c:v>
                </c:pt>
                <c:pt idx="92">
                  <c:v>1.9205098129947689</c:v>
                </c:pt>
                <c:pt idx="93">
                  <c:v>1.9205098129947689</c:v>
                </c:pt>
                <c:pt idx="94">
                  <c:v>1.9205098129947689</c:v>
                </c:pt>
                <c:pt idx="95">
                  <c:v>1.9205098129947689</c:v>
                </c:pt>
                <c:pt idx="96">
                  <c:v>1.9205098129947689</c:v>
                </c:pt>
                <c:pt idx="97">
                  <c:v>1.9205098129947689</c:v>
                </c:pt>
                <c:pt idx="98">
                  <c:v>1.9205098129947689</c:v>
                </c:pt>
                <c:pt idx="99">
                  <c:v>1.9205098129947689</c:v>
                </c:pt>
                <c:pt idx="100">
                  <c:v>1.9205098129947689</c:v>
                </c:pt>
                <c:pt idx="101">
                  <c:v>1.9205098129947689</c:v>
                </c:pt>
                <c:pt idx="102">
                  <c:v>1.9205098129947689</c:v>
                </c:pt>
                <c:pt idx="103">
                  <c:v>1.9205098129947689</c:v>
                </c:pt>
                <c:pt idx="104">
                  <c:v>1.9205098129947689</c:v>
                </c:pt>
                <c:pt idx="105">
                  <c:v>1.9205098129947689</c:v>
                </c:pt>
                <c:pt idx="106">
                  <c:v>1.9205098129947689</c:v>
                </c:pt>
                <c:pt idx="107">
                  <c:v>1.9205098129947689</c:v>
                </c:pt>
                <c:pt idx="108">
                  <c:v>1.9205098129947689</c:v>
                </c:pt>
                <c:pt idx="109">
                  <c:v>1.9205098129947689</c:v>
                </c:pt>
                <c:pt idx="110">
                  <c:v>1.9205098129947689</c:v>
                </c:pt>
                <c:pt idx="111">
                  <c:v>1.9205098129947689</c:v>
                </c:pt>
                <c:pt idx="112">
                  <c:v>1.9205098129947689</c:v>
                </c:pt>
                <c:pt idx="113">
                  <c:v>1.9205098129947689</c:v>
                </c:pt>
                <c:pt idx="114">
                  <c:v>1.9205098129947689</c:v>
                </c:pt>
                <c:pt idx="115">
                  <c:v>1.9205098129947689</c:v>
                </c:pt>
                <c:pt idx="116">
                  <c:v>1.9205098129947689</c:v>
                </c:pt>
                <c:pt idx="117">
                  <c:v>1.9205098129947689</c:v>
                </c:pt>
                <c:pt idx="118">
                  <c:v>1.9205098129947689</c:v>
                </c:pt>
                <c:pt idx="119">
                  <c:v>1.9205098129947689</c:v>
                </c:pt>
                <c:pt idx="120">
                  <c:v>1.9205098129947689</c:v>
                </c:pt>
                <c:pt idx="121">
                  <c:v>1.9205098129947689</c:v>
                </c:pt>
              </c:numCache>
            </c:numRef>
          </c:xVal>
          <c:yVal>
            <c:numRef>
              <c:f>'Shear Design'!$V$7:$V$128</c:f>
              <c:numCache>
                <c:formatCode>General</c:formatCode>
                <c:ptCount val="1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31</c:v>
                </c:pt>
                <c:pt idx="33">
                  <c:v>32</c:v>
                </c:pt>
                <c:pt idx="34">
                  <c:v>33</c:v>
                </c:pt>
                <c:pt idx="35">
                  <c:v>34</c:v>
                </c:pt>
                <c:pt idx="36">
                  <c:v>35</c:v>
                </c:pt>
                <c:pt idx="37">
                  <c:v>36</c:v>
                </c:pt>
                <c:pt idx="38">
                  <c:v>37</c:v>
                </c:pt>
                <c:pt idx="39">
                  <c:v>38</c:v>
                </c:pt>
                <c:pt idx="40">
                  <c:v>39</c:v>
                </c:pt>
                <c:pt idx="41">
                  <c:v>40</c:v>
                </c:pt>
                <c:pt idx="42">
                  <c:v>41</c:v>
                </c:pt>
                <c:pt idx="43">
                  <c:v>42</c:v>
                </c:pt>
                <c:pt idx="44">
                  <c:v>43</c:v>
                </c:pt>
                <c:pt idx="45">
                  <c:v>44</c:v>
                </c:pt>
                <c:pt idx="46">
                  <c:v>45</c:v>
                </c:pt>
                <c:pt idx="47">
                  <c:v>46</c:v>
                </c:pt>
                <c:pt idx="48">
                  <c:v>47</c:v>
                </c:pt>
                <c:pt idx="49">
                  <c:v>48</c:v>
                </c:pt>
                <c:pt idx="50">
                  <c:v>49</c:v>
                </c:pt>
                <c:pt idx="51">
                  <c:v>50</c:v>
                </c:pt>
                <c:pt idx="52">
                  <c:v>51</c:v>
                </c:pt>
                <c:pt idx="53">
                  <c:v>52</c:v>
                </c:pt>
                <c:pt idx="54">
                  <c:v>53</c:v>
                </c:pt>
                <c:pt idx="55">
                  <c:v>54</c:v>
                </c:pt>
                <c:pt idx="56">
                  <c:v>55</c:v>
                </c:pt>
                <c:pt idx="57">
                  <c:v>56</c:v>
                </c:pt>
                <c:pt idx="58">
                  <c:v>57</c:v>
                </c:pt>
                <c:pt idx="59">
                  <c:v>58</c:v>
                </c:pt>
                <c:pt idx="60">
                  <c:v>59</c:v>
                </c:pt>
                <c:pt idx="61">
                  <c:v>60</c:v>
                </c:pt>
                <c:pt idx="62">
                  <c:v>61</c:v>
                </c:pt>
                <c:pt idx="63">
                  <c:v>62</c:v>
                </c:pt>
                <c:pt idx="64">
                  <c:v>63</c:v>
                </c:pt>
                <c:pt idx="65">
                  <c:v>64</c:v>
                </c:pt>
                <c:pt idx="66">
                  <c:v>65</c:v>
                </c:pt>
                <c:pt idx="67">
                  <c:v>66</c:v>
                </c:pt>
                <c:pt idx="68">
                  <c:v>67</c:v>
                </c:pt>
                <c:pt idx="69">
                  <c:v>68</c:v>
                </c:pt>
                <c:pt idx="70">
                  <c:v>69</c:v>
                </c:pt>
                <c:pt idx="71">
                  <c:v>70</c:v>
                </c:pt>
                <c:pt idx="72">
                  <c:v>71</c:v>
                </c:pt>
                <c:pt idx="73">
                  <c:v>72</c:v>
                </c:pt>
                <c:pt idx="74">
                  <c:v>73</c:v>
                </c:pt>
                <c:pt idx="75">
                  <c:v>74</c:v>
                </c:pt>
                <c:pt idx="76">
                  <c:v>75</c:v>
                </c:pt>
                <c:pt idx="77">
                  <c:v>76</c:v>
                </c:pt>
                <c:pt idx="78">
                  <c:v>77</c:v>
                </c:pt>
                <c:pt idx="79">
                  <c:v>78</c:v>
                </c:pt>
                <c:pt idx="80">
                  <c:v>79</c:v>
                </c:pt>
                <c:pt idx="81">
                  <c:v>80</c:v>
                </c:pt>
                <c:pt idx="82">
                  <c:v>81</c:v>
                </c:pt>
                <c:pt idx="83">
                  <c:v>82</c:v>
                </c:pt>
                <c:pt idx="84">
                  <c:v>83</c:v>
                </c:pt>
                <c:pt idx="85">
                  <c:v>84</c:v>
                </c:pt>
                <c:pt idx="86">
                  <c:v>85</c:v>
                </c:pt>
                <c:pt idx="87">
                  <c:v>86</c:v>
                </c:pt>
                <c:pt idx="88">
                  <c:v>87</c:v>
                </c:pt>
                <c:pt idx="89">
                  <c:v>88</c:v>
                </c:pt>
                <c:pt idx="90">
                  <c:v>89</c:v>
                </c:pt>
                <c:pt idx="91">
                  <c:v>90</c:v>
                </c:pt>
                <c:pt idx="92">
                  <c:v>91</c:v>
                </c:pt>
                <c:pt idx="93">
                  <c:v>92</c:v>
                </c:pt>
                <c:pt idx="94">
                  <c:v>93</c:v>
                </c:pt>
                <c:pt idx="95">
                  <c:v>94</c:v>
                </c:pt>
                <c:pt idx="96">
                  <c:v>95</c:v>
                </c:pt>
                <c:pt idx="97">
                  <c:v>96</c:v>
                </c:pt>
                <c:pt idx="98">
                  <c:v>97</c:v>
                </c:pt>
                <c:pt idx="99">
                  <c:v>98</c:v>
                </c:pt>
                <c:pt idx="100">
                  <c:v>99</c:v>
                </c:pt>
                <c:pt idx="101">
                  <c:v>100</c:v>
                </c:pt>
                <c:pt idx="102">
                  <c:v>101</c:v>
                </c:pt>
                <c:pt idx="103">
                  <c:v>102</c:v>
                </c:pt>
                <c:pt idx="104">
                  <c:v>103</c:v>
                </c:pt>
                <c:pt idx="105">
                  <c:v>104</c:v>
                </c:pt>
                <c:pt idx="106">
                  <c:v>105</c:v>
                </c:pt>
                <c:pt idx="107">
                  <c:v>106</c:v>
                </c:pt>
                <c:pt idx="108">
                  <c:v>107</c:v>
                </c:pt>
                <c:pt idx="109">
                  <c:v>108</c:v>
                </c:pt>
                <c:pt idx="110">
                  <c:v>109</c:v>
                </c:pt>
                <c:pt idx="111">
                  <c:v>110</c:v>
                </c:pt>
                <c:pt idx="112">
                  <c:v>111</c:v>
                </c:pt>
                <c:pt idx="113">
                  <c:v>112</c:v>
                </c:pt>
                <c:pt idx="114">
                  <c:v>113</c:v>
                </c:pt>
                <c:pt idx="115">
                  <c:v>114</c:v>
                </c:pt>
                <c:pt idx="116">
                  <c:v>115</c:v>
                </c:pt>
                <c:pt idx="117">
                  <c:v>116</c:v>
                </c:pt>
                <c:pt idx="118">
                  <c:v>117</c:v>
                </c:pt>
                <c:pt idx="119">
                  <c:v>118</c:v>
                </c:pt>
                <c:pt idx="120">
                  <c:v>119</c:v>
                </c:pt>
                <c:pt idx="121">
                  <c:v>120</c:v>
                </c:pt>
              </c:numCache>
            </c:numRef>
          </c:yVal>
          <c:smooth val="1"/>
        </c:ser>
        <c:ser>
          <c:idx val="4"/>
          <c:order val="4"/>
          <c:tx>
            <c:v>Vu=phi*Vc/2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'Shear Design'!$X$7:$X$128</c:f>
              <c:numCache>
                <c:formatCode>General</c:formatCode>
                <c:ptCount val="122"/>
                <c:pt idx="0">
                  <c:v>2.3874352476042424</c:v>
                </c:pt>
                <c:pt idx="1">
                  <c:v>2.3874352476042424</c:v>
                </c:pt>
                <c:pt idx="2">
                  <c:v>2.3874352476042424</c:v>
                </c:pt>
                <c:pt idx="4">
                  <c:v>2.3874352476042424</c:v>
                </c:pt>
                <c:pt idx="5">
                  <c:v>2.3874352476042424</c:v>
                </c:pt>
                <c:pt idx="6">
                  <c:v>2.3874352476042424</c:v>
                </c:pt>
                <c:pt idx="7">
                  <c:v>2.3874352476042424</c:v>
                </c:pt>
                <c:pt idx="8">
                  <c:v>2.3874352476042424</c:v>
                </c:pt>
                <c:pt idx="9">
                  <c:v>2.3874352476042424</c:v>
                </c:pt>
                <c:pt idx="10">
                  <c:v>2.3874352476042424</c:v>
                </c:pt>
                <c:pt idx="11">
                  <c:v>2.3874352476042424</c:v>
                </c:pt>
                <c:pt idx="12">
                  <c:v>2.3874352476042424</c:v>
                </c:pt>
                <c:pt idx="13">
                  <c:v>2.3874352476042424</c:v>
                </c:pt>
                <c:pt idx="14">
                  <c:v>2.3874352476042424</c:v>
                </c:pt>
                <c:pt idx="15">
                  <c:v>2.3874352476042424</c:v>
                </c:pt>
                <c:pt idx="16">
                  <c:v>2.3874352476042424</c:v>
                </c:pt>
                <c:pt idx="17">
                  <c:v>2.3874352476042424</c:v>
                </c:pt>
                <c:pt idx="18">
                  <c:v>2.3874352476042424</c:v>
                </c:pt>
                <c:pt idx="19">
                  <c:v>2.3874352476042424</c:v>
                </c:pt>
                <c:pt idx="20">
                  <c:v>2.3874352476042424</c:v>
                </c:pt>
                <c:pt idx="21">
                  <c:v>2.3874352476042424</c:v>
                </c:pt>
                <c:pt idx="22">
                  <c:v>2.3874352476042424</c:v>
                </c:pt>
                <c:pt idx="23">
                  <c:v>2.3874352476042424</c:v>
                </c:pt>
                <c:pt idx="24">
                  <c:v>2.3874352476042424</c:v>
                </c:pt>
                <c:pt idx="25">
                  <c:v>2.3874352476042424</c:v>
                </c:pt>
                <c:pt idx="26">
                  <c:v>2.3874352476042424</c:v>
                </c:pt>
                <c:pt idx="27">
                  <c:v>2.3874352476042424</c:v>
                </c:pt>
                <c:pt idx="28">
                  <c:v>2.3874352476042424</c:v>
                </c:pt>
                <c:pt idx="29">
                  <c:v>2.3874352476042424</c:v>
                </c:pt>
                <c:pt idx="30">
                  <c:v>2.3874352476042424</c:v>
                </c:pt>
                <c:pt idx="31">
                  <c:v>2.3874352476042424</c:v>
                </c:pt>
                <c:pt idx="32">
                  <c:v>2.3874352476042424</c:v>
                </c:pt>
                <c:pt idx="33">
                  <c:v>2.3874352476042424</c:v>
                </c:pt>
                <c:pt idx="34">
                  <c:v>2.3874352476042424</c:v>
                </c:pt>
                <c:pt idx="35">
                  <c:v>2.3874352476042424</c:v>
                </c:pt>
                <c:pt idx="36">
                  <c:v>2.3874352476042424</c:v>
                </c:pt>
                <c:pt idx="37">
                  <c:v>2.3874352476042424</c:v>
                </c:pt>
                <c:pt idx="38">
                  <c:v>2.3874352476042424</c:v>
                </c:pt>
                <c:pt idx="39">
                  <c:v>2.3874352476042424</c:v>
                </c:pt>
                <c:pt idx="40">
                  <c:v>2.3874352476042424</c:v>
                </c:pt>
                <c:pt idx="41">
                  <c:v>2.3874352476042424</c:v>
                </c:pt>
                <c:pt idx="42">
                  <c:v>2.3874352476042424</c:v>
                </c:pt>
                <c:pt idx="43">
                  <c:v>2.3874352476042424</c:v>
                </c:pt>
                <c:pt idx="44">
                  <c:v>2.3874352476042424</c:v>
                </c:pt>
                <c:pt idx="45">
                  <c:v>2.3874352476042424</c:v>
                </c:pt>
                <c:pt idx="46">
                  <c:v>2.3874352476042424</c:v>
                </c:pt>
                <c:pt idx="47">
                  <c:v>2.3874352476042424</c:v>
                </c:pt>
                <c:pt idx="48">
                  <c:v>2.3874352476042424</c:v>
                </c:pt>
                <c:pt idx="49">
                  <c:v>2.3874352476042424</c:v>
                </c:pt>
                <c:pt idx="50">
                  <c:v>2.3874352476042424</c:v>
                </c:pt>
                <c:pt idx="51">
                  <c:v>2.3874352476042424</c:v>
                </c:pt>
                <c:pt idx="52">
                  <c:v>2.3874352476042424</c:v>
                </c:pt>
                <c:pt idx="53">
                  <c:v>2.3874352476042424</c:v>
                </c:pt>
                <c:pt idx="54">
                  <c:v>2.3874352476042424</c:v>
                </c:pt>
                <c:pt idx="55">
                  <c:v>2.3874352476042424</c:v>
                </c:pt>
                <c:pt idx="56">
                  <c:v>2.3874352476042424</c:v>
                </c:pt>
                <c:pt idx="57">
                  <c:v>2.3874352476042424</c:v>
                </c:pt>
                <c:pt idx="58">
                  <c:v>2.3874352476042424</c:v>
                </c:pt>
                <c:pt idx="59">
                  <c:v>2.3874352476042424</c:v>
                </c:pt>
                <c:pt idx="60">
                  <c:v>2.3874352476042424</c:v>
                </c:pt>
                <c:pt idx="61">
                  <c:v>2.3874352476042424</c:v>
                </c:pt>
                <c:pt idx="62">
                  <c:v>2.3874352476042424</c:v>
                </c:pt>
                <c:pt idx="63">
                  <c:v>2.3874352476042424</c:v>
                </c:pt>
                <c:pt idx="64">
                  <c:v>2.3874352476042424</c:v>
                </c:pt>
                <c:pt idx="65">
                  <c:v>2.3874352476042424</c:v>
                </c:pt>
                <c:pt idx="66">
                  <c:v>2.3874352476042424</c:v>
                </c:pt>
                <c:pt idx="67">
                  <c:v>2.3874352476042424</c:v>
                </c:pt>
                <c:pt idx="68">
                  <c:v>2.3874352476042424</c:v>
                </c:pt>
                <c:pt idx="69">
                  <c:v>2.3874352476042424</c:v>
                </c:pt>
                <c:pt idx="70">
                  <c:v>2.3874352476042424</c:v>
                </c:pt>
                <c:pt idx="71">
                  <c:v>2.3874352476042424</c:v>
                </c:pt>
                <c:pt idx="72">
                  <c:v>2.3874352476042424</c:v>
                </c:pt>
                <c:pt idx="73">
                  <c:v>2.3874352476042424</c:v>
                </c:pt>
                <c:pt idx="74">
                  <c:v>2.3874352476042424</c:v>
                </c:pt>
                <c:pt idx="75">
                  <c:v>2.3874352476042424</c:v>
                </c:pt>
                <c:pt idx="76">
                  <c:v>2.3874352476042424</c:v>
                </c:pt>
                <c:pt idx="77">
                  <c:v>2.3874352476042424</c:v>
                </c:pt>
                <c:pt idx="78">
                  <c:v>2.3874352476042424</c:v>
                </c:pt>
                <c:pt idx="79">
                  <c:v>2.3874352476042424</c:v>
                </c:pt>
                <c:pt idx="80">
                  <c:v>2.3874352476042424</c:v>
                </c:pt>
                <c:pt idx="81">
                  <c:v>2.3874352476042424</c:v>
                </c:pt>
                <c:pt idx="82">
                  <c:v>2.3874352476042424</c:v>
                </c:pt>
                <c:pt idx="83">
                  <c:v>2.3874352476042424</c:v>
                </c:pt>
                <c:pt idx="84">
                  <c:v>2.3874352476042424</c:v>
                </c:pt>
                <c:pt idx="85">
                  <c:v>2.3874352476042424</c:v>
                </c:pt>
                <c:pt idx="86">
                  <c:v>2.3874352476042424</c:v>
                </c:pt>
                <c:pt idx="87">
                  <c:v>2.3874352476042424</c:v>
                </c:pt>
                <c:pt idx="88">
                  <c:v>2.3874352476042424</c:v>
                </c:pt>
                <c:pt idx="89">
                  <c:v>2.3874352476042424</c:v>
                </c:pt>
                <c:pt idx="90">
                  <c:v>2.3874352476042424</c:v>
                </c:pt>
                <c:pt idx="91">
                  <c:v>2.3874352476042424</c:v>
                </c:pt>
                <c:pt idx="92">
                  <c:v>2.3874352476042424</c:v>
                </c:pt>
                <c:pt idx="93">
                  <c:v>2.3874352476042424</c:v>
                </c:pt>
                <c:pt idx="94">
                  <c:v>2.3874352476042424</c:v>
                </c:pt>
                <c:pt idx="95">
                  <c:v>2.3874352476042424</c:v>
                </c:pt>
                <c:pt idx="96">
                  <c:v>2.3874352476042424</c:v>
                </c:pt>
                <c:pt idx="97">
                  <c:v>2.3874352476042424</c:v>
                </c:pt>
                <c:pt idx="98">
                  <c:v>2.3874352476042424</c:v>
                </c:pt>
                <c:pt idx="99">
                  <c:v>2.3874352476042424</c:v>
                </c:pt>
                <c:pt idx="100">
                  <c:v>2.3874352476042424</c:v>
                </c:pt>
                <c:pt idx="101">
                  <c:v>2.3874352476042424</c:v>
                </c:pt>
                <c:pt idx="102">
                  <c:v>2.3874352476042424</c:v>
                </c:pt>
                <c:pt idx="103">
                  <c:v>2.3874352476042424</c:v>
                </c:pt>
                <c:pt idx="104">
                  <c:v>2.3874352476042424</c:v>
                </c:pt>
                <c:pt idx="105">
                  <c:v>2.3874352476042424</c:v>
                </c:pt>
                <c:pt idx="106">
                  <c:v>2.3874352476042424</c:v>
                </c:pt>
                <c:pt idx="107">
                  <c:v>2.3874352476042424</c:v>
                </c:pt>
                <c:pt idx="108">
                  <c:v>2.3874352476042424</c:v>
                </c:pt>
                <c:pt idx="109">
                  <c:v>2.3874352476042424</c:v>
                </c:pt>
                <c:pt idx="110">
                  <c:v>2.3874352476042424</c:v>
                </c:pt>
                <c:pt idx="111">
                  <c:v>2.3874352476042424</c:v>
                </c:pt>
                <c:pt idx="112">
                  <c:v>2.3874352476042424</c:v>
                </c:pt>
                <c:pt idx="113">
                  <c:v>2.3874352476042424</c:v>
                </c:pt>
                <c:pt idx="114">
                  <c:v>2.3874352476042424</c:v>
                </c:pt>
                <c:pt idx="115">
                  <c:v>2.3874352476042424</c:v>
                </c:pt>
                <c:pt idx="116">
                  <c:v>2.3874352476042424</c:v>
                </c:pt>
                <c:pt idx="117">
                  <c:v>2.3874352476042424</c:v>
                </c:pt>
                <c:pt idx="118">
                  <c:v>2.3874352476042424</c:v>
                </c:pt>
                <c:pt idx="119">
                  <c:v>2.3874352476042424</c:v>
                </c:pt>
                <c:pt idx="120">
                  <c:v>2.3874352476042424</c:v>
                </c:pt>
                <c:pt idx="121">
                  <c:v>2.3874352476042424</c:v>
                </c:pt>
              </c:numCache>
            </c:numRef>
          </c:xVal>
          <c:yVal>
            <c:numRef>
              <c:f>'Shear Design'!$V$7:$V$128</c:f>
              <c:numCache>
                <c:formatCode>General</c:formatCode>
                <c:ptCount val="1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31</c:v>
                </c:pt>
                <c:pt idx="33">
                  <c:v>32</c:v>
                </c:pt>
                <c:pt idx="34">
                  <c:v>33</c:v>
                </c:pt>
                <c:pt idx="35">
                  <c:v>34</c:v>
                </c:pt>
                <c:pt idx="36">
                  <c:v>35</c:v>
                </c:pt>
                <c:pt idx="37">
                  <c:v>36</c:v>
                </c:pt>
                <c:pt idx="38">
                  <c:v>37</c:v>
                </c:pt>
                <c:pt idx="39">
                  <c:v>38</c:v>
                </c:pt>
                <c:pt idx="40">
                  <c:v>39</c:v>
                </c:pt>
                <c:pt idx="41">
                  <c:v>40</c:v>
                </c:pt>
                <c:pt idx="42">
                  <c:v>41</c:v>
                </c:pt>
                <c:pt idx="43">
                  <c:v>42</c:v>
                </c:pt>
                <c:pt idx="44">
                  <c:v>43</c:v>
                </c:pt>
                <c:pt idx="45">
                  <c:v>44</c:v>
                </c:pt>
                <c:pt idx="46">
                  <c:v>45</c:v>
                </c:pt>
                <c:pt idx="47">
                  <c:v>46</c:v>
                </c:pt>
                <c:pt idx="48">
                  <c:v>47</c:v>
                </c:pt>
                <c:pt idx="49">
                  <c:v>48</c:v>
                </c:pt>
                <c:pt idx="50">
                  <c:v>49</c:v>
                </c:pt>
                <c:pt idx="51">
                  <c:v>50</c:v>
                </c:pt>
                <c:pt idx="52">
                  <c:v>51</c:v>
                </c:pt>
                <c:pt idx="53">
                  <c:v>52</c:v>
                </c:pt>
                <c:pt idx="54">
                  <c:v>53</c:v>
                </c:pt>
                <c:pt idx="55">
                  <c:v>54</c:v>
                </c:pt>
                <c:pt idx="56">
                  <c:v>55</c:v>
                </c:pt>
                <c:pt idx="57">
                  <c:v>56</c:v>
                </c:pt>
                <c:pt idx="58">
                  <c:v>57</c:v>
                </c:pt>
                <c:pt idx="59">
                  <c:v>58</c:v>
                </c:pt>
                <c:pt idx="60">
                  <c:v>59</c:v>
                </c:pt>
                <c:pt idx="61">
                  <c:v>60</c:v>
                </c:pt>
                <c:pt idx="62">
                  <c:v>61</c:v>
                </c:pt>
                <c:pt idx="63">
                  <c:v>62</c:v>
                </c:pt>
                <c:pt idx="64">
                  <c:v>63</c:v>
                </c:pt>
                <c:pt idx="65">
                  <c:v>64</c:v>
                </c:pt>
                <c:pt idx="66">
                  <c:v>65</c:v>
                </c:pt>
                <c:pt idx="67">
                  <c:v>66</c:v>
                </c:pt>
                <c:pt idx="68">
                  <c:v>67</c:v>
                </c:pt>
                <c:pt idx="69">
                  <c:v>68</c:v>
                </c:pt>
                <c:pt idx="70">
                  <c:v>69</c:v>
                </c:pt>
                <c:pt idx="71">
                  <c:v>70</c:v>
                </c:pt>
                <c:pt idx="72">
                  <c:v>71</c:v>
                </c:pt>
                <c:pt idx="73">
                  <c:v>72</c:v>
                </c:pt>
                <c:pt idx="74">
                  <c:v>73</c:v>
                </c:pt>
                <c:pt idx="75">
                  <c:v>74</c:v>
                </c:pt>
                <c:pt idx="76">
                  <c:v>75</c:v>
                </c:pt>
                <c:pt idx="77">
                  <c:v>76</c:v>
                </c:pt>
                <c:pt idx="78">
                  <c:v>77</c:v>
                </c:pt>
                <c:pt idx="79">
                  <c:v>78</c:v>
                </c:pt>
                <c:pt idx="80">
                  <c:v>79</c:v>
                </c:pt>
                <c:pt idx="81">
                  <c:v>80</c:v>
                </c:pt>
                <c:pt idx="82">
                  <c:v>81</c:v>
                </c:pt>
                <c:pt idx="83">
                  <c:v>82</c:v>
                </c:pt>
                <c:pt idx="84">
                  <c:v>83</c:v>
                </c:pt>
                <c:pt idx="85">
                  <c:v>84</c:v>
                </c:pt>
                <c:pt idx="86">
                  <c:v>85</c:v>
                </c:pt>
                <c:pt idx="87">
                  <c:v>86</c:v>
                </c:pt>
                <c:pt idx="88">
                  <c:v>87</c:v>
                </c:pt>
                <c:pt idx="89">
                  <c:v>88</c:v>
                </c:pt>
                <c:pt idx="90">
                  <c:v>89</c:v>
                </c:pt>
                <c:pt idx="91">
                  <c:v>90</c:v>
                </c:pt>
                <c:pt idx="92">
                  <c:v>91</c:v>
                </c:pt>
                <c:pt idx="93">
                  <c:v>92</c:v>
                </c:pt>
                <c:pt idx="94">
                  <c:v>93</c:v>
                </c:pt>
                <c:pt idx="95">
                  <c:v>94</c:v>
                </c:pt>
                <c:pt idx="96">
                  <c:v>95</c:v>
                </c:pt>
                <c:pt idx="97">
                  <c:v>96</c:v>
                </c:pt>
                <c:pt idx="98">
                  <c:v>97</c:v>
                </c:pt>
                <c:pt idx="99">
                  <c:v>98</c:v>
                </c:pt>
                <c:pt idx="100">
                  <c:v>99</c:v>
                </c:pt>
                <c:pt idx="101">
                  <c:v>100</c:v>
                </c:pt>
                <c:pt idx="102">
                  <c:v>101</c:v>
                </c:pt>
                <c:pt idx="103">
                  <c:v>102</c:v>
                </c:pt>
                <c:pt idx="104">
                  <c:v>103</c:v>
                </c:pt>
                <c:pt idx="105">
                  <c:v>104</c:v>
                </c:pt>
                <c:pt idx="106">
                  <c:v>105</c:v>
                </c:pt>
                <c:pt idx="107">
                  <c:v>106</c:v>
                </c:pt>
                <c:pt idx="108">
                  <c:v>107</c:v>
                </c:pt>
                <c:pt idx="109">
                  <c:v>108</c:v>
                </c:pt>
                <c:pt idx="110">
                  <c:v>109</c:v>
                </c:pt>
                <c:pt idx="111">
                  <c:v>110</c:v>
                </c:pt>
                <c:pt idx="112">
                  <c:v>111</c:v>
                </c:pt>
                <c:pt idx="113">
                  <c:v>112</c:v>
                </c:pt>
                <c:pt idx="114">
                  <c:v>113</c:v>
                </c:pt>
                <c:pt idx="115">
                  <c:v>114</c:v>
                </c:pt>
                <c:pt idx="116">
                  <c:v>115</c:v>
                </c:pt>
                <c:pt idx="117">
                  <c:v>116</c:v>
                </c:pt>
                <c:pt idx="118">
                  <c:v>117</c:v>
                </c:pt>
                <c:pt idx="119">
                  <c:v>118</c:v>
                </c:pt>
                <c:pt idx="120">
                  <c:v>119</c:v>
                </c:pt>
                <c:pt idx="121">
                  <c:v>120</c:v>
                </c:pt>
              </c:numCache>
            </c:numRef>
          </c:yVal>
          <c:smooth val="1"/>
        </c:ser>
        <c:ser>
          <c:idx val="5"/>
          <c:order val="5"/>
          <c:tx>
            <c:v>d/2</c:v>
          </c:tx>
          <c:spPr>
            <a:ln>
              <a:prstDash val="dashDot"/>
            </a:ln>
          </c:spPr>
          <c:marker>
            <c:symbol val="none"/>
          </c:marker>
          <c:xVal>
            <c:numRef>
              <c:f>'Shear Design'!$B$43:$B$102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xVal>
          <c:yVal>
            <c:numRef>
              <c:f>'Shear Design'!$Y$7:$Y$128</c:f>
              <c:numCache>
                <c:formatCode>General</c:formatCode>
                <c:ptCount val="122"/>
                <c:pt idx="0">
                  <c:v>2.24125</c:v>
                </c:pt>
                <c:pt idx="1">
                  <c:v>2.24125</c:v>
                </c:pt>
                <c:pt idx="2">
                  <c:v>2.24125</c:v>
                </c:pt>
                <c:pt idx="4">
                  <c:v>2.24125</c:v>
                </c:pt>
                <c:pt idx="5">
                  <c:v>2.24125</c:v>
                </c:pt>
                <c:pt idx="6">
                  <c:v>2.24125</c:v>
                </c:pt>
                <c:pt idx="7">
                  <c:v>2.24125</c:v>
                </c:pt>
                <c:pt idx="8">
                  <c:v>2.24125</c:v>
                </c:pt>
                <c:pt idx="9">
                  <c:v>2.24125</c:v>
                </c:pt>
                <c:pt idx="10">
                  <c:v>2.24125</c:v>
                </c:pt>
                <c:pt idx="11">
                  <c:v>2.24125</c:v>
                </c:pt>
                <c:pt idx="12">
                  <c:v>2.24125</c:v>
                </c:pt>
                <c:pt idx="13">
                  <c:v>2.24125</c:v>
                </c:pt>
                <c:pt idx="14">
                  <c:v>2.24125</c:v>
                </c:pt>
                <c:pt idx="15">
                  <c:v>2.24125</c:v>
                </c:pt>
                <c:pt idx="16">
                  <c:v>2.24125</c:v>
                </c:pt>
                <c:pt idx="17">
                  <c:v>2.24125</c:v>
                </c:pt>
                <c:pt idx="18">
                  <c:v>2.24125</c:v>
                </c:pt>
                <c:pt idx="19">
                  <c:v>2.24125</c:v>
                </c:pt>
                <c:pt idx="20">
                  <c:v>2.24125</c:v>
                </c:pt>
                <c:pt idx="21">
                  <c:v>2.24125</c:v>
                </c:pt>
                <c:pt idx="22">
                  <c:v>2.24125</c:v>
                </c:pt>
                <c:pt idx="23">
                  <c:v>2.24125</c:v>
                </c:pt>
                <c:pt idx="24">
                  <c:v>2.24125</c:v>
                </c:pt>
                <c:pt idx="25">
                  <c:v>2.24125</c:v>
                </c:pt>
                <c:pt idx="26">
                  <c:v>2.24125</c:v>
                </c:pt>
                <c:pt idx="27">
                  <c:v>2.24125</c:v>
                </c:pt>
                <c:pt idx="28">
                  <c:v>2.24125</c:v>
                </c:pt>
                <c:pt idx="29">
                  <c:v>2.24125</c:v>
                </c:pt>
                <c:pt idx="30">
                  <c:v>2.24125</c:v>
                </c:pt>
                <c:pt idx="31">
                  <c:v>2.24125</c:v>
                </c:pt>
                <c:pt idx="32">
                  <c:v>2.24125</c:v>
                </c:pt>
                <c:pt idx="33">
                  <c:v>2.24125</c:v>
                </c:pt>
                <c:pt idx="34">
                  <c:v>2.24125</c:v>
                </c:pt>
                <c:pt idx="35">
                  <c:v>2.24125</c:v>
                </c:pt>
                <c:pt idx="36">
                  <c:v>2.24125</c:v>
                </c:pt>
                <c:pt idx="37">
                  <c:v>2.24125</c:v>
                </c:pt>
                <c:pt idx="38">
                  <c:v>2.24125</c:v>
                </c:pt>
                <c:pt idx="39">
                  <c:v>2.24125</c:v>
                </c:pt>
                <c:pt idx="40">
                  <c:v>2.24125</c:v>
                </c:pt>
                <c:pt idx="41">
                  <c:v>2.24125</c:v>
                </c:pt>
                <c:pt idx="42">
                  <c:v>2.24125</c:v>
                </c:pt>
                <c:pt idx="43">
                  <c:v>2.24125</c:v>
                </c:pt>
                <c:pt idx="44">
                  <c:v>2.24125</c:v>
                </c:pt>
                <c:pt idx="45">
                  <c:v>2.24125</c:v>
                </c:pt>
                <c:pt idx="46">
                  <c:v>2.24125</c:v>
                </c:pt>
                <c:pt idx="47">
                  <c:v>2.24125</c:v>
                </c:pt>
                <c:pt idx="48">
                  <c:v>2.24125</c:v>
                </c:pt>
                <c:pt idx="49">
                  <c:v>2.24125</c:v>
                </c:pt>
                <c:pt idx="50">
                  <c:v>2.24125</c:v>
                </c:pt>
                <c:pt idx="51">
                  <c:v>2.24125</c:v>
                </c:pt>
                <c:pt idx="52">
                  <c:v>2.24125</c:v>
                </c:pt>
                <c:pt idx="53">
                  <c:v>2.24125</c:v>
                </c:pt>
                <c:pt idx="54">
                  <c:v>2.24125</c:v>
                </c:pt>
                <c:pt idx="55">
                  <c:v>2.24125</c:v>
                </c:pt>
                <c:pt idx="56">
                  <c:v>2.24125</c:v>
                </c:pt>
                <c:pt idx="57">
                  <c:v>2.24125</c:v>
                </c:pt>
                <c:pt idx="58">
                  <c:v>2.24125</c:v>
                </c:pt>
                <c:pt idx="59">
                  <c:v>2.24125</c:v>
                </c:pt>
                <c:pt idx="60">
                  <c:v>2.24125</c:v>
                </c:pt>
                <c:pt idx="61">
                  <c:v>2.24125</c:v>
                </c:pt>
                <c:pt idx="62">
                  <c:v>2.24125</c:v>
                </c:pt>
                <c:pt idx="63">
                  <c:v>2.24125</c:v>
                </c:pt>
                <c:pt idx="64">
                  <c:v>2.24125</c:v>
                </c:pt>
                <c:pt idx="65">
                  <c:v>2.24125</c:v>
                </c:pt>
                <c:pt idx="66">
                  <c:v>2.24125</c:v>
                </c:pt>
                <c:pt idx="67">
                  <c:v>2.24125</c:v>
                </c:pt>
                <c:pt idx="68">
                  <c:v>2.24125</c:v>
                </c:pt>
                <c:pt idx="69">
                  <c:v>2.24125</c:v>
                </c:pt>
                <c:pt idx="70">
                  <c:v>2.24125</c:v>
                </c:pt>
                <c:pt idx="71">
                  <c:v>2.24125</c:v>
                </c:pt>
                <c:pt idx="72">
                  <c:v>2.24125</c:v>
                </c:pt>
                <c:pt idx="73">
                  <c:v>2.24125</c:v>
                </c:pt>
                <c:pt idx="74">
                  <c:v>2.24125</c:v>
                </c:pt>
                <c:pt idx="75">
                  <c:v>2.24125</c:v>
                </c:pt>
                <c:pt idx="76">
                  <c:v>2.24125</c:v>
                </c:pt>
                <c:pt idx="77">
                  <c:v>2.24125</c:v>
                </c:pt>
                <c:pt idx="78">
                  <c:v>2.24125</c:v>
                </c:pt>
                <c:pt idx="79">
                  <c:v>2.24125</c:v>
                </c:pt>
                <c:pt idx="80">
                  <c:v>2.24125</c:v>
                </c:pt>
                <c:pt idx="81">
                  <c:v>2.24125</c:v>
                </c:pt>
                <c:pt idx="82">
                  <c:v>2.24125</c:v>
                </c:pt>
                <c:pt idx="83">
                  <c:v>2.24125</c:v>
                </c:pt>
                <c:pt idx="84">
                  <c:v>2.24125</c:v>
                </c:pt>
                <c:pt idx="85">
                  <c:v>2.24125</c:v>
                </c:pt>
                <c:pt idx="86">
                  <c:v>2.24125</c:v>
                </c:pt>
                <c:pt idx="87">
                  <c:v>2.24125</c:v>
                </c:pt>
                <c:pt idx="88">
                  <c:v>2.24125</c:v>
                </c:pt>
                <c:pt idx="89">
                  <c:v>2.24125</c:v>
                </c:pt>
                <c:pt idx="90">
                  <c:v>2.24125</c:v>
                </c:pt>
                <c:pt idx="91">
                  <c:v>2.24125</c:v>
                </c:pt>
                <c:pt idx="92">
                  <c:v>2.24125</c:v>
                </c:pt>
                <c:pt idx="93">
                  <c:v>2.24125</c:v>
                </c:pt>
                <c:pt idx="94">
                  <c:v>2.24125</c:v>
                </c:pt>
                <c:pt idx="95">
                  <c:v>2.24125</c:v>
                </c:pt>
                <c:pt idx="96">
                  <c:v>2.24125</c:v>
                </c:pt>
                <c:pt idx="97">
                  <c:v>2.24125</c:v>
                </c:pt>
                <c:pt idx="98">
                  <c:v>2.24125</c:v>
                </c:pt>
                <c:pt idx="99">
                  <c:v>2.24125</c:v>
                </c:pt>
                <c:pt idx="100">
                  <c:v>2.24125</c:v>
                </c:pt>
                <c:pt idx="101">
                  <c:v>2.24125</c:v>
                </c:pt>
                <c:pt idx="102">
                  <c:v>2.24125</c:v>
                </c:pt>
                <c:pt idx="103">
                  <c:v>2.24125</c:v>
                </c:pt>
                <c:pt idx="104">
                  <c:v>2.24125</c:v>
                </c:pt>
                <c:pt idx="105">
                  <c:v>2.24125</c:v>
                </c:pt>
                <c:pt idx="106">
                  <c:v>2.24125</c:v>
                </c:pt>
                <c:pt idx="107">
                  <c:v>2.24125</c:v>
                </c:pt>
                <c:pt idx="108">
                  <c:v>2.24125</c:v>
                </c:pt>
                <c:pt idx="109">
                  <c:v>2.24125</c:v>
                </c:pt>
                <c:pt idx="110">
                  <c:v>2.24125</c:v>
                </c:pt>
                <c:pt idx="111">
                  <c:v>2.24125</c:v>
                </c:pt>
                <c:pt idx="112">
                  <c:v>2.24125</c:v>
                </c:pt>
                <c:pt idx="113">
                  <c:v>2.24125</c:v>
                </c:pt>
                <c:pt idx="114">
                  <c:v>2.24125</c:v>
                </c:pt>
                <c:pt idx="115">
                  <c:v>2.24125</c:v>
                </c:pt>
                <c:pt idx="116">
                  <c:v>2.24125</c:v>
                </c:pt>
                <c:pt idx="117">
                  <c:v>2.24125</c:v>
                </c:pt>
                <c:pt idx="118">
                  <c:v>2.24125</c:v>
                </c:pt>
                <c:pt idx="119">
                  <c:v>2.24125</c:v>
                </c:pt>
                <c:pt idx="120">
                  <c:v>2.24125</c:v>
                </c:pt>
                <c:pt idx="121">
                  <c:v>2.24125</c:v>
                </c:pt>
              </c:numCache>
            </c:numRef>
          </c:yVal>
          <c:smooth val="1"/>
        </c:ser>
        <c:axId val="72743552"/>
        <c:axId val="78828672"/>
      </c:scatterChart>
      <c:valAx>
        <c:axId val="72743552"/>
        <c:scaling>
          <c:orientation val="minMax"/>
          <c:max val="3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Distance</a:t>
                </a:r>
                <a:r>
                  <a:rPr lang="en-US" baseline="0"/>
                  <a:t> Along Beam from Face of Support(ft)</a:t>
                </a:r>
                <a:endParaRPr lang="en-US"/>
              </a:p>
            </c:rich>
          </c:tx>
        </c:title>
        <c:numFmt formatCode="General" sourceLinked="1"/>
        <c:majorTickMark val="none"/>
        <c:tickLblPos val="nextTo"/>
        <c:crossAx val="78828672"/>
        <c:crosses val="autoZero"/>
        <c:crossBetween val="midCat"/>
      </c:valAx>
      <c:valAx>
        <c:axId val="78828672"/>
        <c:scaling>
          <c:orientation val="minMax"/>
          <c:max val="50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Stirrup</a:t>
                </a:r>
                <a:r>
                  <a:rPr lang="en-US" baseline="0"/>
                  <a:t> Spacing (inches)</a:t>
                </a:r>
                <a:endParaRPr lang="en-US"/>
              </a:p>
            </c:rich>
          </c:tx>
        </c:title>
        <c:numFmt formatCode="0.00" sourceLinked="1"/>
        <c:majorTickMark val="none"/>
        <c:tickLblPos val="nextTo"/>
        <c:crossAx val="7274355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622085765176334"/>
          <c:y val="0.12714250036519223"/>
          <c:w val="0.25870689655172413"/>
          <c:h val="0.25971868417704636"/>
        </c:manualLayout>
      </c:layout>
    </c:legend>
    <c:plotVisOnly val="1"/>
  </c:chart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Shear Diagram</a:t>
            </a:r>
          </a:p>
        </c:rich>
      </c:tx>
    </c:title>
    <c:plotArea>
      <c:layout>
        <c:manualLayout>
          <c:layoutTarget val="inner"/>
          <c:xMode val="edge"/>
          <c:yMode val="edge"/>
          <c:x val="7.2791776027996816E-2"/>
          <c:y val="0.17104698802893589"/>
          <c:w val="0.84221522309711294"/>
          <c:h val="0.61071762371167015"/>
        </c:manualLayout>
      </c:layout>
      <c:scatterChart>
        <c:scatterStyle val="smoothMarker"/>
        <c:ser>
          <c:idx val="1"/>
          <c:order val="0"/>
          <c:tx>
            <c:v>Vu</c:v>
          </c:tx>
          <c:spPr>
            <a:ln>
              <a:prstDash val="lgDash"/>
            </a:ln>
          </c:spPr>
          <c:marker>
            <c:symbol val="none"/>
          </c:marker>
          <c:xVal>
            <c:numRef>
              <c:f>'Shear Design'!$B$41:$B$143</c:f>
              <c:numCache>
                <c:formatCode>General</c:formatCode>
                <c:ptCount val="1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</c:numCache>
            </c:numRef>
          </c:xVal>
          <c:yVal>
            <c:numRef>
              <c:f>'Shear Design'!$D$41:$D$143</c:f>
              <c:numCache>
                <c:formatCode>0.0</c:formatCode>
                <c:ptCount val="1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Shear</c:v>
          </c:tx>
          <c:marker>
            <c:symbol val="none"/>
          </c:marker>
          <c:xVal>
            <c:numRef>
              <c:f>'Shear Design'!$B$41:$B$143</c:f>
              <c:numCache>
                <c:formatCode>General</c:formatCode>
                <c:ptCount val="1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</c:numCache>
            </c:numRef>
          </c:xVal>
          <c:yVal>
            <c:numRef>
              <c:f>'Shear Design'!$C$41:$C$143</c:f>
              <c:numCache>
                <c:formatCode>0.0</c:formatCode>
                <c:ptCount val="1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v>d</c:v>
          </c:tx>
          <c:spPr>
            <a:ln>
              <a:prstDash val="dashDot"/>
            </a:ln>
          </c:spPr>
          <c:marker>
            <c:symbol val="none"/>
          </c:marker>
          <c:xVal>
            <c:numRef>
              <c:f>'Shear Design'!$Z$7:$Z$128</c:f>
              <c:numCache>
                <c:formatCode>0.00</c:formatCode>
                <c:ptCount val="122"/>
                <c:pt idx="0">
                  <c:v>0.37354166666666666</c:v>
                </c:pt>
                <c:pt idx="1">
                  <c:v>0.37354166666666666</c:v>
                </c:pt>
                <c:pt idx="2">
                  <c:v>0.37354166666666666</c:v>
                </c:pt>
                <c:pt idx="4">
                  <c:v>0.37354166666666666</c:v>
                </c:pt>
                <c:pt idx="5">
                  <c:v>0.37354166666666666</c:v>
                </c:pt>
                <c:pt idx="6">
                  <c:v>0.37354166666666666</c:v>
                </c:pt>
                <c:pt idx="7">
                  <c:v>0.37354166666666666</c:v>
                </c:pt>
                <c:pt idx="8">
                  <c:v>0.37354166666666666</c:v>
                </c:pt>
                <c:pt idx="9">
                  <c:v>0.37354166666666666</c:v>
                </c:pt>
                <c:pt idx="10">
                  <c:v>0.37354166666666666</c:v>
                </c:pt>
                <c:pt idx="11">
                  <c:v>0.37354166666666666</c:v>
                </c:pt>
                <c:pt idx="12">
                  <c:v>0.37354166666666666</c:v>
                </c:pt>
                <c:pt idx="13">
                  <c:v>0.37354166666666666</c:v>
                </c:pt>
                <c:pt idx="14">
                  <c:v>0.37354166666666666</c:v>
                </c:pt>
                <c:pt idx="15">
                  <c:v>0.37354166666666666</c:v>
                </c:pt>
                <c:pt idx="16">
                  <c:v>0.37354166666666666</c:v>
                </c:pt>
                <c:pt idx="17">
                  <c:v>0.37354166666666666</c:v>
                </c:pt>
                <c:pt idx="18">
                  <c:v>0.37354166666666666</c:v>
                </c:pt>
                <c:pt idx="19">
                  <c:v>0.37354166666666666</c:v>
                </c:pt>
                <c:pt idx="20">
                  <c:v>0.37354166666666666</c:v>
                </c:pt>
                <c:pt idx="21">
                  <c:v>0.37354166666666666</c:v>
                </c:pt>
                <c:pt idx="22">
                  <c:v>0.37354166666666666</c:v>
                </c:pt>
                <c:pt idx="23">
                  <c:v>0.37354166666666666</c:v>
                </c:pt>
                <c:pt idx="24">
                  <c:v>0.37354166666666666</c:v>
                </c:pt>
                <c:pt idx="25">
                  <c:v>0.37354166666666666</c:v>
                </c:pt>
                <c:pt idx="26">
                  <c:v>0.37354166666666666</c:v>
                </c:pt>
                <c:pt idx="27">
                  <c:v>0.37354166666666666</c:v>
                </c:pt>
                <c:pt idx="28">
                  <c:v>0.37354166666666666</c:v>
                </c:pt>
                <c:pt idx="29">
                  <c:v>0.37354166666666666</c:v>
                </c:pt>
                <c:pt idx="30">
                  <c:v>0.37354166666666666</c:v>
                </c:pt>
                <c:pt idx="31">
                  <c:v>0.37354166666666666</c:v>
                </c:pt>
                <c:pt idx="32">
                  <c:v>0.37354166666666666</c:v>
                </c:pt>
                <c:pt idx="33">
                  <c:v>0.37354166666666666</c:v>
                </c:pt>
                <c:pt idx="34">
                  <c:v>0.37354166666666666</c:v>
                </c:pt>
                <c:pt idx="35">
                  <c:v>0.37354166666666666</c:v>
                </c:pt>
                <c:pt idx="36">
                  <c:v>0.37354166666666666</c:v>
                </c:pt>
                <c:pt idx="37">
                  <c:v>0.37354166666666666</c:v>
                </c:pt>
                <c:pt idx="38">
                  <c:v>0.37354166666666666</c:v>
                </c:pt>
                <c:pt idx="39">
                  <c:v>0.37354166666666666</c:v>
                </c:pt>
                <c:pt idx="40">
                  <c:v>0.37354166666666666</c:v>
                </c:pt>
                <c:pt idx="41">
                  <c:v>0.37354166666666666</c:v>
                </c:pt>
                <c:pt idx="42">
                  <c:v>0.37354166666666666</c:v>
                </c:pt>
                <c:pt idx="43">
                  <c:v>0.37354166666666666</c:v>
                </c:pt>
                <c:pt idx="44">
                  <c:v>0.37354166666666666</c:v>
                </c:pt>
                <c:pt idx="45">
                  <c:v>0.37354166666666666</c:v>
                </c:pt>
                <c:pt idx="46">
                  <c:v>0.37354166666666666</c:v>
                </c:pt>
                <c:pt idx="47">
                  <c:v>0.37354166666666666</c:v>
                </c:pt>
                <c:pt idx="48">
                  <c:v>0.37354166666666666</c:v>
                </c:pt>
                <c:pt idx="49">
                  <c:v>0.37354166666666666</c:v>
                </c:pt>
                <c:pt idx="50">
                  <c:v>0.37354166666666666</c:v>
                </c:pt>
                <c:pt idx="51">
                  <c:v>0.37354166666666666</c:v>
                </c:pt>
                <c:pt idx="52">
                  <c:v>0.37354166666666666</c:v>
                </c:pt>
                <c:pt idx="53">
                  <c:v>0.37354166666666666</c:v>
                </c:pt>
                <c:pt idx="54">
                  <c:v>0.37354166666666666</c:v>
                </c:pt>
                <c:pt idx="55">
                  <c:v>0.37354166666666666</c:v>
                </c:pt>
                <c:pt idx="56">
                  <c:v>0.37354166666666666</c:v>
                </c:pt>
                <c:pt idx="57">
                  <c:v>0.37354166666666666</c:v>
                </c:pt>
                <c:pt idx="58">
                  <c:v>0.37354166666666666</c:v>
                </c:pt>
                <c:pt idx="59">
                  <c:v>0.37354166666666666</c:v>
                </c:pt>
                <c:pt idx="60">
                  <c:v>0.37354166666666666</c:v>
                </c:pt>
                <c:pt idx="61">
                  <c:v>0.37354166666666666</c:v>
                </c:pt>
                <c:pt idx="62">
                  <c:v>0.37354166666666666</c:v>
                </c:pt>
                <c:pt idx="63">
                  <c:v>0.37354166666666666</c:v>
                </c:pt>
                <c:pt idx="64">
                  <c:v>0.37354166666666666</c:v>
                </c:pt>
                <c:pt idx="65">
                  <c:v>0.37354166666666666</c:v>
                </c:pt>
                <c:pt idx="66">
                  <c:v>0.37354166666666666</c:v>
                </c:pt>
                <c:pt idx="67">
                  <c:v>0.37354166666666666</c:v>
                </c:pt>
                <c:pt idx="68">
                  <c:v>0.37354166666666666</c:v>
                </c:pt>
                <c:pt idx="69">
                  <c:v>0.37354166666666666</c:v>
                </c:pt>
                <c:pt idx="70">
                  <c:v>0.37354166666666666</c:v>
                </c:pt>
                <c:pt idx="71">
                  <c:v>0.37354166666666666</c:v>
                </c:pt>
                <c:pt idx="72">
                  <c:v>0.37354166666666666</c:v>
                </c:pt>
                <c:pt idx="73">
                  <c:v>0.37354166666666666</c:v>
                </c:pt>
                <c:pt idx="74">
                  <c:v>0.37354166666666666</c:v>
                </c:pt>
                <c:pt idx="75">
                  <c:v>0.37354166666666666</c:v>
                </c:pt>
                <c:pt idx="76">
                  <c:v>0.37354166666666666</c:v>
                </c:pt>
                <c:pt idx="77">
                  <c:v>0.37354166666666666</c:v>
                </c:pt>
                <c:pt idx="78">
                  <c:v>0.37354166666666666</c:v>
                </c:pt>
                <c:pt idx="79">
                  <c:v>0.37354166666666666</c:v>
                </c:pt>
                <c:pt idx="80">
                  <c:v>0.37354166666666666</c:v>
                </c:pt>
                <c:pt idx="81">
                  <c:v>0.37354166666666666</c:v>
                </c:pt>
                <c:pt idx="82">
                  <c:v>0.37354166666666666</c:v>
                </c:pt>
                <c:pt idx="83">
                  <c:v>0.37354166666666666</c:v>
                </c:pt>
                <c:pt idx="84">
                  <c:v>0.37354166666666666</c:v>
                </c:pt>
                <c:pt idx="85">
                  <c:v>0.37354166666666666</c:v>
                </c:pt>
                <c:pt idx="86">
                  <c:v>0.37354166666666666</c:v>
                </c:pt>
                <c:pt idx="87">
                  <c:v>0.37354166666666666</c:v>
                </c:pt>
                <c:pt idx="88">
                  <c:v>0.37354166666666666</c:v>
                </c:pt>
                <c:pt idx="89">
                  <c:v>0.37354166666666666</c:v>
                </c:pt>
                <c:pt idx="90">
                  <c:v>0.37354166666666666</c:v>
                </c:pt>
                <c:pt idx="91">
                  <c:v>0.37354166666666666</c:v>
                </c:pt>
                <c:pt idx="92">
                  <c:v>0.37354166666666666</c:v>
                </c:pt>
                <c:pt idx="93">
                  <c:v>0.37354166666666666</c:v>
                </c:pt>
                <c:pt idx="94">
                  <c:v>0.37354166666666666</c:v>
                </c:pt>
                <c:pt idx="95">
                  <c:v>0.37354166666666666</c:v>
                </c:pt>
                <c:pt idx="96">
                  <c:v>0.37354166666666666</c:v>
                </c:pt>
                <c:pt idx="97">
                  <c:v>0.37354166666666666</c:v>
                </c:pt>
                <c:pt idx="98">
                  <c:v>0.37354166666666666</c:v>
                </c:pt>
                <c:pt idx="99">
                  <c:v>0.37354166666666666</c:v>
                </c:pt>
                <c:pt idx="100">
                  <c:v>0.37354166666666666</c:v>
                </c:pt>
                <c:pt idx="101">
                  <c:v>0.37354166666666666</c:v>
                </c:pt>
                <c:pt idx="102">
                  <c:v>0.37354166666666666</c:v>
                </c:pt>
                <c:pt idx="103">
                  <c:v>0.37354166666666666</c:v>
                </c:pt>
                <c:pt idx="104">
                  <c:v>0.37354166666666666</c:v>
                </c:pt>
                <c:pt idx="105">
                  <c:v>0.37354166666666666</c:v>
                </c:pt>
                <c:pt idx="106">
                  <c:v>0.37354166666666666</c:v>
                </c:pt>
                <c:pt idx="107">
                  <c:v>0.37354166666666666</c:v>
                </c:pt>
                <c:pt idx="108">
                  <c:v>0.37354166666666666</c:v>
                </c:pt>
                <c:pt idx="109">
                  <c:v>0.37354166666666666</c:v>
                </c:pt>
                <c:pt idx="110">
                  <c:v>0.37354166666666666</c:v>
                </c:pt>
                <c:pt idx="111">
                  <c:v>0.37354166666666666</c:v>
                </c:pt>
                <c:pt idx="112">
                  <c:v>0.37354166666666666</c:v>
                </c:pt>
                <c:pt idx="113">
                  <c:v>0.37354166666666666</c:v>
                </c:pt>
                <c:pt idx="114">
                  <c:v>0.37354166666666666</c:v>
                </c:pt>
                <c:pt idx="115">
                  <c:v>0.37354166666666666</c:v>
                </c:pt>
                <c:pt idx="116">
                  <c:v>0.37354166666666666</c:v>
                </c:pt>
                <c:pt idx="117">
                  <c:v>0.37354166666666666</c:v>
                </c:pt>
                <c:pt idx="118">
                  <c:v>0.37354166666666666</c:v>
                </c:pt>
                <c:pt idx="119">
                  <c:v>0.37354166666666666</c:v>
                </c:pt>
                <c:pt idx="120">
                  <c:v>0.37354166666666666</c:v>
                </c:pt>
                <c:pt idx="121">
                  <c:v>0.37354166666666666</c:v>
                </c:pt>
              </c:numCache>
            </c:numRef>
          </c:xVal>
          <c:yVal>
            <c:numRef>
              <c:f>'Shear Design'!$V$7:$V$128</c:f>
              <c:numCache>
                <c:formatCode>General</c:formatCode>
                <c:ptCount val="1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31</c:v>
                </c:pt>
                <c:pt idx="33">
                  <c:v>32</c:v>
                </c:pt>
                <c:pt idx="34">
                  <c:v>33</c:v>
                </c:pt>
                <c:pt idx="35">
                  <c:v>34</c:v>
                </c:pt>
                <c:pt idx="36">
                  <c:v>35</c:v>
                </c:pt>
                <c:pt idx="37">
                  <c:v>36</c:v>
                </c:pt>
                <c:pt idx="38">
                  <c:v>37</c:v>
                </c:pt>
                <c:pt idx="39">
                  <c:v>38</c:v>
                </c:pt>
                <c:pt idx="40">
                  <c:v>39</c:v>
                </c:pt>
                <c:pt idx="41">
                  <c:v>40</c:v>
                </c:pt>
                <c:pt idx="42">
                  <c:v>41</c:v>
                </c:pt>
                <c:pt idx="43">
                  <c:v>42</c:v>
                </c:pt>
                <c:pt idx="44">
                  <c:v>43</c:v>
                </c:pt>
                <c:pt idx="45">
                  <c:v>44</c:v>
                </c:pt>
                <c:pt idx="46">
                  <c:v>45</c:v>
                </c:pt>
                <c:pt idx="47">
                  <c:v>46</c:v>
                </c:pt>
                <c:pt idx="48">
                  <c:v>47</c:v>
                </c:pt>
                <c:pt idx="49">
                  <c:v>48</c:v>
                </c:pt>
                <c:pt idx="50">
                  <c:v>49</c:v>
                </c:pt>
                <c:pt idx="51">
                  <c:v>50</c:v>
                </c:pt>
                <c:pt idx="52">
                  <c:v>51</c:v>
                </c:pt>
                <c:pt idx="53">
                  <c:v>52</c:v>
                </c:pt>
                <c:pt idx="54">
                  <c:v>53</c:v>
                </c:pt>
                <c:pt idx="55">
                  <c:v>54</c:v>
                </c:pt>
                <c:pt idx="56">
                  <c:v>55</c:v>
                </c:pt>
                <c:pt idx="57">
                  <c:v>56</c:v>
                </c:pt>
                <c:pt idx="58">
                  <c:v>57</c:v>
                </c:pt>
                <c:pt idx="59">
                  <c:v>58</c:v>
                </c:pt>
                <c:pt idx="60">
                  <c:v>59</c:v>
                </c:pt>
                <c:pt idx="61">
                  <c:v>60</c:v>
                </c:pt>
                <c:pt idx="62">
                  <c:v>61</c:v>
                </c:pt>
                <c:pt idx="63">
                  <c:v>62</c:v>
                </c:pt>
                <c:pt idx="64">
                  <c:v>63</c:v>
                </c:pt>
                <c:pt idx="65">
                  <c:v>64</c:v>
                </c:pt>
                <c:pt idx="66">
                  <c:v>65</c:v>
                </c:pt>
                <c:pt idx="67">
                  <c:v>66</c:v>
                </c:pt>
                <c:pt idx="68">
                  <c:v>67</c:v>
                </c:pt>
                <c:pt idx="69">
                  <c:v>68</c:v>
                </c:pt>
                <c:pt idx="70">
                  <c:v>69</c:v>
                </c:pt>
                <c:pt idx="71">
                  <c:v>70</c:v>
                </c:pt>
                <c:pt idx="72">
                  <c:v>71</c:v>
                </c:pt>
                <c:pt idx="73">
                  <c:v>72</c:v>
                </c:pt>
                <c:pt idx="74">
                  <c:v>73</c:v>
                </c:pt>
                <c:pt idx="75">
                  <c:v>74</c:v>
                </c:pt>
                <c:pt idx="76">
                  <c:v>75</c:v>
                </c:pt>
                <c:pt idx="77">
                  <c:v>76</c:v>
                </c:pt>
                <c:pt idx="78">
                  <c:v>77</c:v>
                </c:pt>
                <c:pt idx="79">
                  <c:v>78</c:v>
                </c:pt>
                <c:pt idx="80">
                  <c:v>79</c:v>
                </c:pt>
                <c:pt idx="81">
                  <c:v>80</c:v>
                </c:pt>
                <c:pt idx="82">
                  <c:v>81</c:v>
                </c:pt>
                <c:pt idx="83">
                  <c:v>82</c:v>
                </c:pt>
                <c:pt idx="84">
                  <c:v>83</c:v>
                </c:pt>
                <c:pt idx="85">
                  <c:v>84</c:v>
                </c:pt>
                <c:pt idx="86">
                  <c:v>85</c:v>
                </c:pt>
                <c:pt idx="87">
                  <c:v>86</c:v>
                </c:pt>
                <c:pt idx="88">
                  <c:v>87</c:v>
                </c:pt>
                <c:pt idx="89">
                  <c:v>88</c:v>
                </c:pt>
                <c:pt idx="90">
                  <c:v>89</c:v>
                </c:pt>
                <c:pt idx="91">
                  <c:v>90</c:v>
                </c:pt>
                <c:pt idx="92">
                  <c:v>91</c:v>
                </c:pt>
                <c:pt idx="93">
                  <c:v>92</c:v>
                </c:pt>
                <c:pt idx="94">
                  <c:v>93</c:v>
                </c:pt>
                <c:pt idx="95">
                  <c:v>94</c:v>
                </c:pt>
                <c:pt idx="96">
                  <c:v>95</c:v>
                </c:pt>
                <c:pt idx="97">
                  <c:v>96</c:v>
                </c:pt>
                <c:pt idx="98">
                  <c:v>97</c:v>
                </c:pt>
                <c:pt idx="99">
                  <c:v>98</c:v>
                </c:pt>
                <c:pt idx="100">
                  <c:v>99</c:v>
                </c:pt>
                <c:pt idx="101">
                  <c:v>100</c:v>
                </c:pt>
                <c:pt idx="102">
                  <c:v>101</c:v>
                </c:pt>
                <c:pt idx="103">
                  <c:v>102</c:v>
                </c:pt>
                <c:pt idx="104">
                  <c:v>103</c:v>
                </c:pt>
                <c:pt idx="105">
                  <c:v>104</c:v>
                </c:pt>
                <c:pt idx="106">
                  <c:v>105</c:v>
                </c:pt>
                <c:pt idx="107">
                  <c:v>106</c:v>
                </c:pt>
                <c:pt idx="108">
                  <c:v>107</c:v>
                </c:pt>
                <c:pt idx="109">
                  <c:v>108</c:v>
                </c:pt>
                <c:pt idx="110">
                  <c:v>109</c:v>
                </c:pt>
                <c:pt idx="111">
                  <c:v>110</c:v>
                </c:pt>
                <c:pt idx="112">
                  <c:v>111</c:v>
                </c:pt>
                <c:pt idx="113">
                  <c:v>112</c:v>
                </c:pt>
                <c:pt idx="114">
                  <c:v>113</c:v>
                </c:pt>
                <c:pt idx="115">
                  <c:v>114</c:v>
                </c:pt>
                <c:pt idx="116">
                  <c:v>115</c:v>
                </c:pt>
                <c:pt idx="117">
                  <c:v>116</c:v>
                </c:pt>
                <c:pt idx="118">
                  <c:v>117</c:v>
                </c:pt>
                <c:pt idx="119">
                  <c:v>118</c:v>
                </c:pt>
                <c:pt idx="120">
                  <c:v>119</c:v>
                </c:pt>
                <c:pt idx="121">
                  <c:v>120</c:v>
                </c:pt>
              </c:numCache>
            </c:numRef>
          </c:yVal>
          <c:smooth val="1"/>
        </c:ser>
        <c:ser>
          <c:idx val="3"/>
          <c:order val="3"/>
          <c:tx>
            <c:v>Vu=phi*Vc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'Shear Design'!$W$7:$W$128</c:f>
              <c:numCache>
                <c:formatCode>General</c:formatCode>
                <c:ptCount val="122"/>
                <c:pt idx="0">
                  <c:v>1.9205098129947689</c:v>
                </c:pt>
                <c:pt idx="1">
                  <c:v>1.9205098129947689</c:v>
                </c:pt>
                <c:pt idx="2">
                  <c:v>1.9205098129947689</c:v>
                </c:pt>
                <c:pt idx="4">
                  <c:v>1.9205098129947689</c:v>
                </c:pt>
                <c:pt idx="5">
                  <c:v>1.9205098129947689</c:v>
                </c:pt>
                <c:pt idx="6">
                  <c:v>1.9205098129947689</c:v>
                </c:pt>
                <c:pt idx="7">
                  <c:v>1.9205098129947689</c:v>
                </c:pt>
                <c:pt idx="8">
                  <c:v>1.9205098129947689</c:v>
                </c:pt>
                <c:pt idx="9">
                  <c:v>1.9205098129947689</c:v>
                </c:pt>
                <c:pt idx="10">
                  <c:v>1.9205098129947689</c:v>
                </c:pt>
                <c:pt idx="11">
                  <c:v>1.9205098129947689</c:v>
                </c:pt>
                <c:pt idx="12">
                  <c:v>1.9205098129947689</c:v>
                </c:pt>
                <c:pt idx="13">
                  <c:v>1.9205098129947689</c:v>
                </c:pt>
                <c:pt idx="14">
                  <c:v>1.9205098129947689</c:v>
                </c:pt>
                <c:pt idx="15">
                  <c:v>1.9205098129947689</c:v>
                </c:pt>
                <c:pt idx="16">
                  <c:v>1.9205098129947689</c:v>
                </c:pt>
                <c:pt idx="17">
                  <c:v>1.9205098129947689</c:v>
                </c:pt>
                <c:pt idx="18">
                  <c:v>1.9205098129947689</c:v>
                </c:pt>
                <c:pt idx="19">
                  <c:v>1.9205098129947689</c:v>
                </c:pt>
                <c:pt idx="20">
                  <c:v>1.9205098129947689</c:v>
                </c:pt>
                <c:pt idx="21">
                  <c:v>1.9205098129947689</c:v>
                </c:pt>
                <c:pt idx="22">
                  <c:v>1.9205098129947689</c:v>
                </c:pt>
                <c:pt idx="23">
                  <c:v>1.9205098129947689</c:v>
                </c:pt>
                <c:pt idx="24">
                  <c:v>1.9205098129947689</c:v>
                </c:pt>
                <c:pt idx="25">
                  <c:v>1.9205098129947689</c:v>
                </c:pt>
                <c:pt idx="26">
                  <c:v>1.9205098129947689</c:v>
                </c:pt>
                <c:pt idx="27">
                  <c:v>1.9205098129947689</c:v>
                </c:pt>
                <c:pt idx="28">
                  <c:v>1.9205098129947689</c:v>
                </c:pt>
                <c:pt idx="29">
                  <c:v>1.9205098129947689</c:v>
                </c:pt>
                <c:pt idx="30">
                  <c:v>1.9205098129947689</c:v>
                </c:pt>
                <c:pt idx="31">
                  <c:v>1.9205098129947689</c:v>
                </c:pt>
                <c:pt idx="32">
                  <c:v>1.9205098129947689</c:v>
                </c:pt>
                <c:pt idx="33">
                  <c:v>1.9205098129947689</c:v>
                </c:pt>
                <c:pt idx="34">
                  <c:v>1.9205098129947689</c:v>
                </c:pt>
                <c:pt idx="35">
                  <c:v>1.9205098129947689</c:v>
                </c:pt>
                <c:pt idx="36">
                  <c:v>1.9205098129947689</c:v>
                </c:pt>
                <c:pt idx="37">
                  <c:v>1.9205098129947689</c:v>
                </c:pt>
                <c:pt idx="38">
                  <c:v>1.9205098129947689</c:v>
                </c:pt>
                <c:pt idx="39">
                  <c:v>1.9205098129947689</c:v>
                </c:pt>
                <c:pt idx="40">
                  <c:v>1.9205098129947689</c:v>
                </c:pt>
                <c:pt idx="41">
                  <c:v>1.9205098129947689</c:v>
                </c:pt>
                <c:pt idx="42">
                  <c:v>1.9205098129947689</c:v>
                </c:pt>
                <c:pt idx="43">
                  <c:v>1.9205098129947689</c:v>
                </c:pt>
                <c:pt idx="44">
                  <c:v>1.9205098129947689</c:v>
                </c:pt>
                <c:pt idx="45">
                  <c:v>1.9205098129947689</c:v>
                </c:pt>
                <c:pt idx="46">
                  <c:v>1.9205098129947689</c:v>
                </c:pt>
                <c:pt idx="47">
                  <c:v>1.9205098129947689</c:v>
                </c:pt>
                <c:pt idx="48">
                  <c:v>1.9205098129947689</c:v>
                </c:pt>
                <c:pt idx="49">
                  <c:v>1.9205098129947689</c:v>
                </c:pt>
                <c:pt idx="50">
                  <c:v>1.9205098129947689</c:v>
                </c:pt>
                <c:pt idx="51">
                  <c:v>1.9205098129947689</c:v>
                </c:pt>
                <c:pt idx="52">
                  <c:v>1.9205098129947689</c:v>
                </c:pt>
                <c:pt idx="53">
                  <c:v>1.9205098129947689</c:v>
                </c:pt>
                <c:pt idx="54">
                  <c:v>1.9205098129947689</c:v>
                </c:pt>
                <c:pt idx="55">
                  <c:v>1.9205098129947689</c:v>
                </c:pt>
                <c:pt idx="56">
                  <c:v>1.9205098129947689</c:v>
                </c:pt>
                <c:pt idx="57">
                  <c:v>1.9205098129947689</c:v>
                </c:pt>
                <c:pt idx="58">
                  <c:v>1.9205098129947689</c:v>
                </c:pt>
                <c:pt idx="59">
                  <c:v>1.9205098129947689</c:v>
                </c:pt>
                <c:pt idx="60">
                  <c:v>1.9205098129947689</c:v>
                </c:pt>
                <c:pt idx="61">
                  <c:v>1.9205098129947689</c:v>
                </c:pt>
                <c:pt idx="62">
                  <c:v>1.9205098129947689</c:v>
                </c:pt>
                <c:pt idx="63">
                  <c:v>1.9205098129947689</c:v>
                </c:pt>
                <c:pt idx="64">
                  <c:v>1.9205098129947689</c:v>
                </c:pt>
                <c:pt idx="65">
                  <c:v>1.9205098129947689</c:v>
                </c:pt>
                <c:pt idx="66">
                  <c:v>1.9205098129947689</c:v>
                </c:pt>
                <c:pt idx="67">
                  <c:v>1.9205098129947689</c:v>
                </c:pt>
                <c:pt idx="68">
                  <c:v>1.9205098129947689</c:v>
                </c:pt>
                <c:pt idx="69">
                  <c:v>1.9205098129947689</c:v>
                </c:pt>
                <c:pt idx="70">
                  <c:v>1.9205098129947689</c:v>
                </c:pt>
                <c:pt idx="71">
                  <c:v>1.9205098129947689</c:v>
                </c:pt>
                <c:pt idx="72">
                  <c:v>1.9205098129947689</c:v>
                </c:pt>
                <c:pt idx="73">
                  <c:v>1.9205098129947689</c:v>
                </c:pt>
                <c:pt idx="74">
                  <c:v>1.9205098129947689</c:v>
                </c:pt>
                <c:pt idx="75">
                  <c:v>1.9205098129947689</c:v>
                </c:pt>
                <c:pt idx="76">
                  <c:v>1.9205098129947689</c:v>
                </c:pt>
                <c:pt idx="77">
                  <c:v>1.9205098129947689</c:v>
                </c:pt>
                <c:pt idx="78">
                  <c:v>1.9205098129947689</c:v>
                </c:pt>
                <c:pt idx="79">
                  <c:v>1.9205098129947689</c:v>
                </c:pt>
                <c:pt idx="80">
                  <c:v>1.9205098129947689</c:v>
                </c:pt>
                <c:pt idx="81">
                  <c:v>1.9205098129947689</c:v>
                </c:pt>
                <c:pt idx="82">
                  <c:v>1.9205098129947689</c:v>
                </c:pt>
                <c:pt idx="83">
                  <c:v>1.9205098129947689</c:v>
                </c:pt>
                <c:pt idx="84">
                  <c:v>1.9205098129947689</c:v>
                </c:pt>
                <c:pt idx="85">
                  <c:v>1.9205098129947689</c:v>
                </c:pt>
                <c:pt idx="86">
                  <c:v>1.9205098129947689</c:v>
                </c:pt>
                <c:pt idx="87">
                  <c:v>1.9205098129947689</c:v>
                </c:pt>
                <c:pt idx="88">
                  <c:v>1.9205098129947689</c:v>
                </c:pt>
                <c:pt idx="89">
                  <c:v>1.9205098129947689</c:v>
                </c:pt>
                <c:pt idx="90">
                  <c:v>1.9205098129947689</c:v>
                </c:pt>
                <c:pt idx="91">
                  <c:v>1.9205098129947689</c:v>
                </c:pt>
                <c:pt idx="92">
                  <c:v>1.9205098129947689</c:v>
                </c:pt>
                <c:pt idx="93">
                  <c:v>1.9205098129947689</c:v>
                </c:pt>
                <c:pt idx="94">
                  <c:v>1.9205098129947689</c:v>
                </c:pt>
                <c:pt idx="95">
                  <c:v>1.9205098129947689</c:v>
                </c:pt>
                <c:pt idx="96">
                  <c:v>1.9205098129947689</c:v>
                </c:pt>
                <c:pt idx="97">
                  <c:v>1.9205098129947689</c:v>
                </c:pt>
                <c:pt idx="98">
                  <c:v>1.9205098129947689</c:v>
                </c:pt>
                <c:pt idx="99">
                  <c:v>1.9205098129947689</c:v>
                </c:pt>
                <c:pt idx="100">
                  <c:v>1.9205098129947689</c:v>
                </c:pt>
                <c:pt idx="101">
                  <c:v>1.9205098129947689</c:v>
                </c:pt>
                <c:pt idx="102">
                  <c:v>1.9205098129947689</c:v>
                </c:pt>
                <c:pt idx="103">
                  <c:v>1.9205098129947689</c:v>
                </c:pt>
                <c:pt idx="104">
                  <c:v>1.9205098129947689</c:v>
                </c:pt>
                <c:pt idx="105">
                  <c:v>1.9205098129947689</c:v>
                </c:pt>
                <c:pt idx="106">
                  <c:v>1.9205098129947689</c:v>
                </c:pt>
                <c:pt idx="107">
                  <c:v>1.9205098129947689</c:v>
                </c:pt>
                <c:pt idx="108">
                  <c:v>1.9205098129947689</c:v>
                </c:pt>
                <c:pt idx="109">
                  <c:v>1.9205098129947689</c:v>
                </c:pt>
                <c:pt idx="110">
                  <c:v>1.9205098129947689</c:v>
                </c:pt>
                <c:pt idx="111">
                  <c:v>1.9205098129947689</c:v>
                </c:pt>
                <c:pt idx="112">
                  <c:v>1.9205098129947689</c:v>
                </c:pt>
                <c:pt idx="113">
                  <c:v>1.9205098129947689</c:v>
                </c:pt>
                <c:pt idx="114">
                  <c:v>1.9205098129947689</c:v>
                </c:pt>
                <c:pt idx="115">
                  <c:v>1.9205098129947689</c:v>
                </c:pt>
                <c:pt idx="116">
                  <c:v>1.9205098129947689</c:v>
                </c:pt>
                <c:pt idx="117">
                  <c:v>1.9205098129947689</c:v>
                </c:pt>
                <c:pt idx="118">
                  <c:v>1.9205098129947689</c:v>
                </c:pt>
                <c:pt idx="119">
                  <c:v>1.9205098129947689</c:v>
                </c:pt>
                <c:pt idx="120">
                  <c:v>1.9205098129947689</c:v>
                </c:pt>
                <c:pt idx="121">
                  <c:v>1.9205098129947689</c:v>
                </c:pt>
              </c:numCache>
            </c:numRef>
          </c:xVal>
          <c:yVal>
            <c:numRef>
              <c:f>'Shear Design'!$V$7:$V$128</c:f>
              <c:numCache>
                <c:formatCode>General</c:formatCode>
                <c:ptCount val="1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31</c:v>
                </c:pt>
                <c:pt idx="33">
                  <c:v>32</c:v>
                </c:pt>
                <c:pt idx="34">
                  <c:v>33</c:v>
                </c:pt>
                <c:pt idx="35">
                  <c:v>34</c:v>
                </c:pt>
                <c:pt idx="36">
                  <c:v>35</c:v>
                </c:pt>
                <c:pt idx="37">
                  <c:v>36</c:v>
                </c:pt>
                <c:pt idx="38">
                  <c:v>37</c:v>
                </c:pt>
                <c:pt idx="39">
                  <c:v>38</c:v>
                </c:pt>
                <c:pt idx="40">
                  <c:v>39</c:v>
                </c:pt>
                <c:pt idx="41">
                  <c:v>40</c:v>
                </c:pt>
                <c:pt idx="42">
                  <c:v>41</c:v>
                </c:pt>
                <c:pt idx="43">
                  <c:v>42</c:v>
                </c:pt>
                <c:pt idx="44">
                  <c:v>43</c:v>
                </c:pt>
                <c:pt idx="45">
                  <c:v>44</c:v>
                </c:pt>
                <c:pt idx="46">
                  <c:v>45</c:v>
                </c:pt>
                <c:pt idx="47">
                  <c:v>46</c:v>
                </c:pt>
                <c:pt idx="48">
                  <c:v>47</c:v>
                </c:pt>
                <c:pt idx="49">
                  <c:v>48</c:v>
                </c:pt>
                <c:pt idx="50">
                  <c:v>49</c:v>
                </c:pt>
                <c:pt idx="51">
                  <c:v>50</c:v>
                </c:pt>
                <c:pt idx="52">
                  <c:v>51</c:v>
                </c:pt>
                <c:pt idx="53">
                  <c:v>52</c:v>
                </c:pt>
                <c:pt idx="54">
                  <c:v>53</c:v>
                </c:pt>
                <c:pt idx="55">
                  <c:v>54</c:v>
                </c:pt>
                <c:pt idx="56">
                  <c:v>55</c:v>
                </c:pt>
                <c:pt idx="57">
                  <c:v>56</c:v>
                </c:pt>
                <c:pt idx="58">
                  <c:v>57</c:v>
                </c:pt>
                <c:pt idx="59">
                  <c:v>58</c:v>
                </c:pt>
                <c:pt idx="60">
                  <c:v>59</c:v>
                </c:pt>
                <c:pt idx="61">
                  <c:v>60</c:v>
                </c:pt>
                <c:pt idx="62">
                  <c:v>61</c:v>
                </c:pt>
                <c:pt idx="63">
                  <c:v>62</c:v>
                </c:pt>
                <c:pt idx="64">
                  <c:v>63</c:v>
                </c:pt>
                <c:pt idx="65">
                  <c:v>64</c:v>
                </c:pt>
                <c:pt idx="66">
                  <c:v>65</c:v>
                </c:pt>
                <c:pt idx="67">
                  <c:v>66</c:v>
                </c:pt>
                <c:pt idx="68">
                  <c:v>67</c:v>
                </c:pt>
                <c:pt idx="69">
                  <c:v>68</c:v>
                </c:pt>
                <c:pt idx="70">
                  <c:v>69</c:v>
                </c:pt>
                <c:pt idx="71">
                  <c:v>70</c:v>
                </c:pt>
                <c:pt idx="72">
                  <c:v>71</c:v>
                </c:pt>
                <c:pt idx="73">
                  <c:v>72</c:v>
                </c:pt>
                <c:pt idx="74">
                  <c:v>73</c:v>
                </c:pt>
                <c:pt idx="75">
                  <c:v>74</c:v>
                </c:pt>
                <c:pt idx="76">
                  <c:v>75</c:v>
                </c:pt>
                <c:pt idx="77">
                  <c:v>76</c:v>
                </c:pt>
                <c:pt idx="78">
                  <c:v>77</c:v>
                </c:pt>
                <c:pt idx="79">
                  <c:v>78</c:v>
                </c:pt>
                <c:pt idx="80">
                  <c:v>79</c:v>
                </c:pt>
                <c:pt idx="81">
                  <c:v>80</c:v>
                </c:pt>
                <c:pt idx="82">
                  <c:v>81</c:v>
                </c:pt>
                <c:pt idx="83">
                  <c:v>82</c:v>
                </c:pt>
                <c:pt idx="84">
                  <c:v>83</c:v>
                </c:pt>
                <c:pt idx="85">
                  <c:v>84</c:v>
                </c:pt>
                <c:pt idx="86">
                  <c:v>85</c:v>
                </c:pt>
                <c:pt idx="87">
                  <c:v>86</c:v>
                </c:pt>
                <c:pt idx="88">
                  <c:v>87</c:v>
                </c:pt>
                <c:pt idx="89">
                  <c:v>88</c:v>
                </c:pt>
                <c:pt idx="90">
                  <c:v>89</c:v>
                </c:pt>
                <c:pt idx="91">
                  <c:v>90</c:v>
                </c:pt>
                <c:pt idx="92">
                  <c:v>91</c:v>
                </c:pt>
                <c:pt idx="93">
                  <c:v>92</c:v>
                </c:pt>
                <c:pt idx="94">
                  <c:v>93</c:v>
                </c:pt>
                <c:pt idx="95">
                  <c:v>94</c:v>
                </c:pt>
                <c:pt idx="96">
                  <c:v>95</c:v>
                </c:pt>
                <c:pt idx="97">
                  <c:v>96</c:v>
                </c:pt>
                <c:pt idx="98">
                  <c:v>97</c:v>
                </c:pt>
                <c:pt idx="99">
                  <c:v>98</c:v>
                </c:pt>
                <c:pt idx="100">
                  <c:v>99</c:v>
                </c:pt>
                <c:pt idx="101">
                  <c:v>100</c:v>
                </c:pt>
                <c:pt idx="102">
                  <c:v>101</c:v>
                </c:pt>
                <c:pt idx="103">
                  <c:v>102</c:v>
                </c:pt>
                <c:pt idx="104">
                  <c:v>103</c:v>
                </c:pt>
                <c:pt idx="105">
                  <c:v>104</c:v>
                </c:pt>
                <c:pt idx="106">
                  <c:v>105</c:v>
                </c:pt>
                <c:pt idx="107">
                  <c:v>106</c:v>
                </c:pt>
                <c:pt idx="108">
                  <c:v>107</c:v>
                </c:pt>
                <c:pt idx="109">
                  <c:v>108</c:v>
                </c:pt>
                <c:pt idx="110">
                  <c:v>109</c:v>
                </c:pt>
                <c:pt idx="111">
                  <c:v>110</c:v>
                </c:pt>
                <c:pt idx="112">
                  <c:v>111</c:v>
                </c:pt>
                <c:pt idx="113">
                  <c:v>112</c:v>
                </c:pt>
                <c:pt idx="114">
                  <c:v>113</c:v>
                </c:pt>
                <c:pt idx="115">
                  <c:v>114</c:v>
                </c:pt>
                <c:pt idx="116">
                  <c:v>115</c:v>
                </c:pt>
                <c:pt idx="117">
                  <c:v>116</c:v>
                </c:pt>
                <c:pt idx="118">
                  <c:v>117</c:v>
                </c:pt>
                <c:pt idx="119">
                  <c:v>118</c:v>
                </c:pt>
                <c:pt idx="120">
                  <c:v>119</c:v>
                </c:pt>
                <c:pt idx="121">
                  <c:v>120</c:v>
                </c:pt>
              </c:numCache>
            </c:numRef>
          </c:yVal>
          <c:smooth val="1"/>
        </c:ser>
        <c:ser>
          <c:idx val="4"/>
          <c:order val="4"/>
          <c:tx>
            <c:v>Vu=phi*Vc/2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'Shear Design'!$X$7:$X$128</c:f>
              <c:numCache>
                <c:formatCode>General</c:formatCode>
                <c:ptCount val="122"/>
                <c:pt idx="0">
                  <c:v>2.3874352476042424</c:v>
                </c:pt>
                <c:pt idx="1">
                  <c:v>2.3874352476042424</c:v>
                </c:pt>
                <c:pt idx="2">
                  <c:v>2.3874352476042424</c:v>
                </c:pt>
                <c:pt idx="4">
                  <c:v>2.3874352476042424</c:v>
                </c:pt>
                <c:pt idx="5">
                  <c:v>2.3874352476042424</c:v>
                </c:pt>
                <c:pt idx="6">
                  <c:v>2.3874352476042424</c:v>
                </c:pt>
                <c:pt idx="7">
                  <c:v>2.3874352476042424</c:v>
                </c:pt>
                <c:pt idx="8">
                  <c:v>2.3874352476042424</c:v>
                </c:pt>
                <c:pt idx="9">
                  <c:v>2.3874352476042424</c:v>
                </c:pt>
                <c:pt idx="10">
                  <c:v>2.3874352476042424</c:v>
                </c:pt>
                <c:pt idx="11">
                  <c:v>2.3874352476042424</c:v>
                </c:pt>
                <c:pt idx="12">
                  <c:v>2.3874352476042424</c:v>
                </c:pt>
                <c:pt idx="13">
                  <c:v>2.3874352476042424</c:v>
                </c:pt>
                <c:pt idx="14">
                  <c:v>2.3874352476042424</c:v>
                </c:pt>
                <c:pt idx="15">
                  <c:v>2.3874352476042424</c:v>
                </c:pt>
                <c:pt idx="16">
                  <c:v>2.3874352476042424</c:v>
                </c:pt>
                <c:pt idx="17">
                  <c:v>2.3874352476042424</c:v>
                </c:pt>
                <c:pt idx="18">
                  <c:v>2.3874352476042424</c:v>
                </c:pt>
                <c:pt idx="19">
                  <c:v>2.3874352476042424</c:v>
                </c:pt>
                <c:pt idx="20">
                  <c:v>2.3874352476042424</c:v>
                </c:pt>
                <c:pt idx="21">
                  <c:v>2.3874352476042424</c:v>
                </c:pt>
                <c:pt idx="22">
                  <c:v>2.3874352476042424</c:v>
                </c:pt>
                <c:pt idx="23">
                  <c:v>2.3874352476042424</c:v>
                </c:pt>
                <c:pt idx="24">
                  <c:v>2.3874352476042424</c:v>
                </c:pt>
                <c:pt idx="25">
                  <c:v>2.3874352476042424</c:v>
                </c:pt>
                <c:pt idx="26">
                  <c:v>2.3874352476042424</c:v>
                </c:pt>
                <c:pt idx="27">
                  <c:v>2.3874352476042424</c:v>
                </c:pt>
                <c:pt idx="28">
                  <c:v>2.3874352476042424</c:v>
                </c:pt>
                <c:pt idx="29">
                  <c:v>2.3874352476042424</c:v>
                </c:pt>
                <c:pt idx="30">
                  <c:v>2.3874352476042424</c:v>
                </c:pt>
                <c:pt idx="31">
                  <c:v>2.3874352476042424</c:v>
                </c:pt>
                <c:pt idx="32">
                  <c:v>2.3874352476042424</c:v>
                </c:pt>
                <c:pt idx="33">
                  <c:v>2.3874352476042424</c:v>
                </c:pt>
                <c:pt idx="34">
                  <c:v>2.3874352476042424</c:v>
                </c:pt>
                <c:pt idx="35">
                  <c:v>2.3874352476042424</c:v>
                </c:pt>
                <c:pt idx="36">
                  <c:v>2.3874352476042424</c:v>
                </c:pt>
                <c:pt idx="37">
                  <c:v>2.3874352476042424</c:v>
                </c:pt>
                <c:pt idx="38">
                  <c:v>2.3874352476042424</c:v>
                </c:pt>
                <c:pt idx="39">
                  <c:v>2.3874352476042424</c:v>
                </c:pt>
                <c:pt idx="40">
                  <c:v>2.3874352476042424</c:v>
                </c:pt>
                <c:pt idx="41">
                  <c:v>2.3874352476042424</c:v>
                </c:pt>
                <c:pt idx="42">
                  <c:v>2.3874352476042424</c:v>
                </c:pt>
                <c:pt idx="43">
                  <c:v>2.3874352476042424</c:v>
                </c:pt>
                <c:pt idx="44">
                  <c:v>2.3874352476042424</c:v>
                </c:pt>
                <c:pt idx="45">
                  <c:v>2.3874352476042424</c:v>
                </c:pt>
                <c:pt idx="46">
                  <c:v>2.3874352476042424</c:v>
                </c:pt>
                <c:pt idx="47">
                  <c:v>2.3874352476042424</c:v>
                </c:pt>
                <c:pt idx="48">
                  <c:v>2.3874352476042424</c:v>
                </c:pt>
                <c:pt idx="49">
                  <c:v>2.3874352476042424</c:v>
                </c:pt>
                <c:pt idx="50">
                  <c:v>2.3874352476042424</c:v>
                </c:pt>
                <c:pt idx="51">
                  <c:v>2.3874352476042424</c:v>
                </c:pt>
                <c:pt idx="52">
                  <c:v>2.3874352476042424</c:v>
                </c:pt>
                <c:pt idx="53">
                  <c:v>2.3874352476042424</c:v>
                </c:pt>
                <c:pt idx="54">
                  <c:v>2.3874352476042424</c:v>
                </c:pt>
                <c:pt idx="55">
                  <c:v>2.3874352476042424</c:v>
                </c:pt>
                <c:pt idx="56">
                  <c:v>2.3874352476042424</c:v>
                </c:pt>
                <c:pt idx="57">
                  <c:v>2.3874352476042424</c:v>
                </c:pt>
                <c:pt idx="58">
                  <c:v>2.3874352476042424</c:v>
                </c:pt>
                <c:pt idx="59">
                  <c:v>2.3874352476042424</c:v>
                </c:pt>
                <c:pt idx="60">
                  <c:v>2.3874352476042424</c:v>
                </c:pt>
                <c:pt idx="61">
                  <c:v>2.3874352476042424</c:v>
                </c:pt>
                <c:pt idx="62">
                  <c:v>2.3874352476042424</c:v>
                </c:pt>
                <c:pt idx="63">
                  <c:v>2.3874352476042424</c:v>
                </c:pt>
                <c:pt idx="64">
                  <c:v>2.3874352476042424</c:v>
                </c:pt>
                <c:pt idx="65">
                  <c:v>2.3874352476042424</c:v>
                </c:pt>
                <c:pt idx="66">
                  <c:v>2.3874352476042424</c:v>
                </c:pt>
                <c:pt idx="67">
                  <c:v>2.3874352476042424</c:v>
                </c:pt>
                <c:pt idx="68">
                  <c:v>2.3874352476042424</c:v>
                </c:pt>
                <c:pt idx="69">
                  <c:v>2.3874352476042424</c:v>
                </c:pt>
                <c:pt idx="70">
                  <c:v>2.3874352476042424</c:v>
                </c:pt>
                <c:pt idx="71">
                  <c:v>2.3874352476042424</c:v>
                </c:pt>
                <c:pt idx="72">
                  <c:v>2.3874352476042424</c:v>
                </c:pt>
                <c:pt idx="73">
                  <c:v>2.3874352476042424</c:v>
                </c:pt>
                <c:pt idx="74">
                  <c:v>2.3874352476042424</c:v>
                </c:pt>
                <c:pt idx="75">
                  <c:v>2.3874352476042424</c:v>
                </c:pt>
                <c:pt idx="76">
                  <c:v>2.3874352476042424</c:v>
                </c:pt>
                <c:pt idx="77">
                  <c:v>2.3874352476042424</c:v>
                </c:pt>
                <c:pt idx="78">
                  <c:v>2.3874352476042424</c:v>
                </c:pt>
                <c:pt idx="79">
                  <c:v>2.3874352476042424</c:v>
                </c:pt>
                <c:pt idx="80">
                  <c:v>2.3874352476042424</c:v>
                </c:pt>
                <c:pt idx="81">
                  <c:v>2.3874352476042424</c:v>
                </c:pt>
                <c:pt idx="82">
                  <c:v>2.3874352476042424</c:v>
                </c:pt>
                <c:pt idx="83">
                  <c:v>2.3874352476042424</c:v>
                </c:pt>
                <c:pt idx="84">
                  <c:v>2.3874352476042424</c:v>
                </c:pt>
                <c:pt idx="85">
                  <c:v>2.3874352476042424</c:v>
                </c:pt>
                <c:pt idx="86">
                  <c:v>2.3874352476042424</c:v>
                </c:pt>
                <c:pt idx="87">
                  <c:v>2.3874352476042424</c:v>
                </c:pt>
                <c:pt idx="88">
                  <c:v>2.3874352476042424</c:v>
                </c:pt>
                <c:pt idx="89">
                  <c:v>2.3874352476042424</c:v>
                </c:pt>
                <c:pt idx="90">
                  <c:v>2.3874352476042424</c:v>
                </c:pt>
                <c:pt idx="91">
                  <c:v>2.3874352476042424</c:v>
                </c:pt>
                <c:pt idx="92">
                  <c:v>2.3874352476042424</c:v>
                </c:pt>
                <c:pt idx="93">
                  <c:v>2.3874352476042424</c:v>
                </c:pt>
                <c:pt idx="94">
                  <c:v>2.3874352476042424</c:v>
                </c:pt>
                <c:pt idx="95">
                  <c:v>2.3874352476042424</c:v>
                </c:pt>
                <c:pt idx="96">
                  <c:v>2.3874352476042424</c:v>
                </c:pt>
                <c:pt idx="97">
                  <c:v>2.3874352476042424</c:v>
                </c:pt>
                <c:pt idx="98">
                  <c:v>2.3874352476042424</c:v>
                </c:pt>
                <c:pt idx="99">
                  <c:v>2.3874352476042424</c:v>
                </c:pt>
                <c:pt idx="100">
                  <c:v>2.3874352476042424</c:v>
                </c:pt>
                <c:pt idx="101">
                  <c:v>2.3874352476042424</c:v>
                </c:pt>
                <c:pt idx="102">
                  <c:v>2.3874352476042424</c:v>
                </c:pt>
                <c:pt idx="103">
                  <c:v>2.3874352476042424</c:v>
                </c:pt>
                <c:pt idx="104">
                  <c:v>2.3874352476042424</c:v>
                </c:pt>
                <c:pt idx="105">
                  <c:v>2.3874352476042424</c:v>
                </c:pt>
                <c:pt idx="106">
                  <c:v>2.3874352476042424</c:v>
                </c:pt>
                <c:pt idx="107">
                  <c:v>2.3874352476042424</c:v>
                </c:pt>
                <c:pt idx="108">
                  <c:v>2.3874352476042424</c:v>
                </c:pt>
                <c:pt idx="109">
                  <c:v>2.3874352476042424</c:v>
                </c:pt>
                <c:pt idx="110">
                  <c:v>2.3874352476042424</c:v>
                </c:pt>
                <c:pt idx="111">
                  <c:v>2.3874352476042424</c:v>
                </c:pt>
                <c:pt idx="112">
                  <c:v>2.3874352476042424</c:v>
                </c:pt>
                <c:pt idx="113">
                  <c:v>2.3874352476042424</c:v>
                </c:pt>
                <c:pt idx="114">
                  <c:v>2.3874352476042424</c:v>
                </c:pt>
                <c:pt idx="115">
                  <c:v>2.3874352476042424</c:v>
                </c:pt>
                <c:pt idx="116">
                  <c:v>2.3874352476042424</c:v>
                </c:pt>
                <c:pt idx="117">
                  <c:v>2.3874352476042424</c:v>
                </c:pt>
                <c:pt idx="118">
                  <c:v>2.3874352476042424</c:v>
                </c:pt>
                <c:pt idx="119">
                  <c:v>2.3874352476042424</c:v>
                </c:pt>
                <c:pt idx="120">
                  <c:v>2.3874352476042424</c:v>
                </c:pt>
                <c:pt idx="121">
                  <c:v>2.3874352476042424</c:v>
                </c:pt>
              </c:numCache>
            </c:numRef>
          </c:xVal>
          <c:yVal>
            <c:numRef>
              <c:f>'Shear Design'!$V$7:$V$128</c:f>
              <c:numCache>
                <c:formatCode>General</c:formatCode>
                <c:ptCount val="1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31</c:v>
                </c:pt>
                <c:pt idx="33">
                  <c:v>32</c:v>
                </c:pt>
                <c:pt idx="34">
                  <c:v>33</c:v>
                </c:pt>
                <c:pt idx="35">
                  <c:v>34</c:v>
                </c:pt>
                <c:pt idx="36">
                  <c:v>35</c:v>
                </c:pt>
                <c:pt idx="37">
                  <c:v>36</c:v>
                </c:pt>
                <c:pt idx="38">
                  <c:v>37</c:v>
                </c:pt>
                <c:pt idx="39">
                  <c:v>38</c:v>
                </c:pt>
                <c:pt idx="40">
                  <c:v>39</c:v>
                </c:pt>
                <c:pt idx="41">
                  <c:v>40</c:v>
                </c:pt>
                <c:pt idx="42">
                  <c:v>41</c:v>
                </c:pt>
                <c:pt idx="43">
                  <c:v>42</c:v>
                </c:pt>
                <c:pt idx="44">
                  <c:v>43</c:v>
                </c:pt>
                <c:pt idx="45">
                  <c:v>44</c:v>
                </c:pt>
                <c:pt idx="46">
                  <c:v>45</c:v>
                </c:pt>
                <c:pt idx="47">
                  <c:v>46</c:v>
                </c:pt>
                <c:pt idx="48">
                  <c:v>47</c:v>
                </c:pt>
                <c:pt idx="49">
                  <c:v>48</c:v>
                </c:pt>
                <c:pt idx="50">
                  <c:v>49</c:v>
                </c:pt>
                <c:pt idx="51">
                  <c:v>50</c:v>
                </c:pt>
                <c:pt idx="52">
                  <c:v>51</c:v>
                </c:pt>
                <c:pt idx="53">
                  <c:v>52</c:v>
                </c:pt>
                <c:pt idx="54">
                  <c:v>53</c:v>
                </c:pt>
                <c:pt idx="55">
                  <c:v>54</c:v>
                </c:pt>
                <c:pt idx="56">
                  <c:v>55</c:v>
                </c:pt>
                <c:pt idx="57">
                  <c:v>56</c:v>
                </c:pt>
                <c:pt idx="58">
                  <c:v>57</c:v>
                </c:pt>
                <c:pt idx="59">
                  <c:v>58</c:v>
                </c:pt>
                <c:pt idx="60">
                  <c:v>59</c:v>
                </c:pt>
                <c:pt idx="61">
                  <c:v>60</c:v>
                </c:pt>
                <c:pt idx="62">
                  <c:v>61</c:v>
                </c:pt>
                <c:pt idx="63">
                  <c:v>62</c:v>
                </c:pt>
                <c:pt idx="64">
                  <c:v>63</c:v>
                </c:pt>
                <c:pt idx="65">
                  <c:v>64</c:v>
                </c:pt>
                <c:pt idx="66">
                  <c:v>65</c:v>
                </c:pt>
                <c:pt idx="67">
                  <c:v>66</c:v>
                </c:pt>
                <c:pt idx="68">
                  <c:v>67</c:v>
                </c:pt>
                <c:pt idx="69">
                  <c:v>68</c:v>
                </c:pt>
                <c:pt idx="70">
                  <c:v>69</c:v>
                </c:pt>
                <c:pt idx="71">
                  <c:v>70</c:v>
                </c:pt>
                <c:pt idx="72">
                  <c:v>71</c:v>
                </c:pt>
                <c:pt idx="73">
                  <c:v>72</c:v>
                </c:pt>
                <c:pt idx="74">
                  <c:v>73</c:v>
                </c:pt>
                <c:pt idx="75">
                  <c:v>74</c:v>
                </c:pt>
                <c:pt idx="76">
                  <c:v>75</c:v>
                </c:pt>
                <c:pt idx="77">
                  <c:v>76</c:v>
                </c:pt>
                <c:pt idx="78">
                  <c:v>77</c:v>
                </c:pt>
                <c:pt idx="79">
                  <c:v>78</c:v>
                </c:pt>
                <c:pt idx="80">
                  <c:v>79</c:v>
                </c:pt>
                <c:pt idx="81">
                  <c:v>80</c:v>
                </c:pt>
                <c:pt idx="82">
                  <c:v>81</c:v>
                </c:pt>
                <c:pt idx="83">
                  <c:v>82</c:v>
                </c:pt>
                <c:pt idx="84">
                  <c:v>83</c:v>
                </c:pt>
                <c:pt idx="85">
                  <c:v>84</c:v>
                </c:pt>
                <c:pt idx="86">
                  <c:v>85</c:v>
                </c:pt>
                <c:pt idx="87">
                  <c:v>86</c:v>
                </c:pt>
                <c:pt idx="88">
                  <c:v>87</c:v>
                </c:pt>
                <c:pt idx="89">
                  <c:v>88</c:v>
                </c:pt>
                <c:pt idx="90">
                  <c:v>89</c:v>
                </c:pt>
                <c:pt idx="91">
                  <c:v>90</c:v>
                </c:pt>
                <c:pt idx="92">
                  <c:v>91</c:v>
                </c:pt>
                <c:pt idx="93">
                  <c:v>92</c:v>
                </c:pt>
                <c:pt idx="94">
                  <c:v>93</c:v>
                </c:pt>
                <c:pt idx="95">
                  <c:v>94</c:v>
                </c:pt>
                <c:pt idx="96">
                  <c:v>95</c:v>
                </c:pt>
                <c:pt idx="97">
                  <c:v>96</c:v>
                </c:pt>
                <c:pt idx="98">
                  <c:v>97</c:v>
                </c:pt>
                <c:pt idx="99">
                  <c:v>98</c:v>
                </c:pt>
                <c:pt idx="100">
                  <c:v>99</c:v>
                </c:pt>
                <c:pt idx="101">
                  <c:v>100</c:v>
                </c:pt>
                <c:pt idx="102">
                  <c:v>101</c:v>
                </c:pt>
                <c:pt idx="103">
                  <c:v>102</c:v>
                </c:pt>
                <c:pt idx="104">
                  <c:v>103</c:v>
                </c:pt>
                <c:pt idx="105">
                  <c:v>104</c:v>
                </c:pt>
                <c:pt idx="106">
                  <c:v>105</c:v>
                </c:pt>
                <c:pt idx="107">
                  <c:v>106</c:v>
                </c:pt>
                <c:pt idx="108">
                  <c:v>107</c:v>
                </c:pt>
                <c:pt idx="109">
                  <c:v>108</c:v>
                </c:pt>
                <c:pt idx="110">
                  <c:v>109</c:v>
                </c:pt>
                <c:pt idx="111">
                  <c:v>110</c:v>
                </c:pt>
                <c:pt idx="112">
                  <c:v>111</c:v>
                </c:pt>
                <c:pt idx="113">
                  <c:v>112</c:v>
                </c:pt>
                <c:pt idx="114">
                  <c:v>113</c:v>
                </c:pt>
                <c:pt idx="115">
                  <c:v>114</c:v>
                </c:pt>
                <c:pt idx="116">
                  <c:v>115</c:v>
                </c:pt>
                <c:pt idx="117">
                  <c:v>116</c:v>
                </c:pt>
                <c:pt idx="118">
                  <c:v>117</c:v>
                </c:pt>
                <c:pt idx="119">
                  <c:v>118</c:v>
                </c:pt>
                <c:pt idx="120">
                  <c:v>119</c:v>
                </c:pt>
                <c:pt idx="121">
                  <c:v>120</c:v>
                </c:pt>
              </c:numCache>
            </c:numRef>
          </c:yVal>
          <c:smooth val="1"/>
        </c:ser>
        <c:axId val="78955264"/>
        <c:axId val="78957184"/>
      </c:scatterChart>
      <c:valAx>
        <c:axId val="78955264"/>
        <c:scaling>
          <c:orientation val="minMax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Distance</a:t>
                </a:r>
                <a:r>
                  <a:rPr lang="en-US" baseline="0"/>
                  <a:t> Along Column from Face of Support (ft)</a:t>
                </a:r>
                <a:endParaRPr lang="en-US"/>
              </a:p>
            </c:rich>
          </c:tx>
        </c:title>
        <c:numFmt formatCode="General" sourceLinked="1"/>
        <c:majorTickMark val="none"/>
        <c:tickLblPos val="nextTo"/>
        <c:crossAx val="78957184"/>
        <c:crosses val="autoZero"/>
        <c:crossBetween val="midCat"/>
      </c:valAx>
      <c:valAx>
        <c:axId val="78957184"/>
        <c:scaling>
          <c:orientation val="minMax"/>
          <c:max val="10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Shear</a:t>
                </a:r>
                <a:r>
                  <a:rPr lang="en-US" baseline="0"/>
                  <a:t> (kips)</a:t>
                </a:r>
                <a:endParaRPr lang="en-US"/>
              </a:p>
            </c:rich>
          </c:tx>
        </c:title>
        <c:numFmt formatCode="0.0" sourceLinked="1"/>
        <c:majorTickMark val="none"/>
        <c:tickLblPos val="nextTo"/>
        <c:crossAx val="789552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027835272516977"/>
          <c:y val="0.18329127189409888"/>
          <c:w val="0.2421460029360738"/>
          <c:h val="0.17414331375547226"/>
        </c:manualLayout>
      </c:layout>
    </c:legend>
    <c:plotVisOnly val="1"/>
  </c:chart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152400</xdr:colOff>
      <xdr:row>27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85725</xdr:colOff>
      <xdr:row>27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EE%20473\Phase%203\T-Beam%20Spreadshe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eam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-2"/>
      <sheetName val="1"/>
      <sheetName val="2"/>
      <sheetName val="3"/>
      <sheetName val="2-3"/>
      <sheetName val="Shear 1-2"/>
      <sheetName val="Shear Stirrups 1-2 Graph"/>
      <sheetName val="Shear Diagram 1-2"/>
      <sheetName val="Shear 2-3"/>
      <sheetName val="Shear Stirrups 2-3 Graph"/>
      <sheetName val="Shear Diagram 2-3"/>
    </sheetNames>
    <sheetDataSet>
      <sheetData sheetId="0">
        <row r="11">
          <cell r="B11">
            <v>14</v>
          </cell>
        </row>
        <row r="29">
          <cell r="B29">
            <v>6000</v>
          </cell>
        </row>
        <row r="43">
          <cell r="B43">
            <v>75</v>
          </cell>
        </row>
        <row r="45">
          <cell r="B45">
            <v>29.3125</v>
          </cell>
        </row>
      </sheetData>
      <sheetData sheetId="1"/>
      <sheetData sheetId="2"/>
      <sheetData sheetId="3"/>
      <sheetData sheetId="4"/>
      <sheetData sheetId="5">
        <row r="5">
          <cell r="V5">
            <v>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oment"/>
      <sheetName val="Shear Design"/>
      <sheetName val="Shear Stirrups"/>
      <sheetName val="Shear Diagram"/>
      <sheetName val="Lookup Tabl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Rebar Size</v>
          </cell>
          <cell r="B1" t="str">
            <v>Diameter</v>
          </cell>
          <cell r="C1" t="str">
            <v>Area</v>
          </cell>
        </row>
        <row r="2">
          <cell r="A2">
            <v>3</v>
          </cell>
          <cell r="B2">
            <v>0.375</v>
          </cell>
          <cell r="C2">
            <v>0.11</v>
          </cell>
        </row>
        <row r="3">
          <cell r="A3">
            <v>4</v>
          </cell>
          <cell r="B3">
            <v>0.5</v>
          </cell>
          <cell r="C3">
            <v>0.2</v>
          </cell>
        </row>
        <row r="4">
          <cell r="A4">
            <v>5</v>
          </cell>
          <cell r="B4">
            <v>0.625</v>
          </cell>
          <cell r="C4">
            <v>0.31</v>
          </cell>
        </row>
        <row r="5">
          <cell r="A5">
            <v>6</v>
          </cell>
          <cell r="B5">
            <v>0.75</v>
          </cell>
          <cell r="C5">
            <v>0.44</v>
          </cell>
        </row>
        <row r="6">
          <cell r="A6">
            <v>7</v>
          </cell>
          <cell r="B6">
            <v>0.875</v>
          </cell>
          <cell r="C6">
            <v>0.6</v>
          </cell>
        </row>
        <row r="7">
          <cell r="A7">
            <v>8</v>
          </cell>
          <cell r="B7">
            <v>1</v>
          </cell>
          <cell r="C7">
            <v>0.79</v>
          </cell>
        </row>
        <row r="8">
          <cell r="A8">
            <v>9</v>
          </cell>
          <cell r="B8">
            <v>1.1279999999999999</v>
          </cell>
          <cell r="C8">
            <v>1</v>
          </cell>
        </row>
        <row r="9">
          <cell r="A9">
            <v>10</v>
          </cell>
          <cell r="B9">
            <v>1.27</v>
          </cell>
          <cell r="C9">
            <v>1.27</v>
          </cell>
        </row>
        <row r="10">
          <cell r="A10">
            <v>11</v>
          </cell>
          <cell r="B10">
            <v>1.41</v>
          </cell>
          <cell r="C10">
            <v>1.56</v>
          </cell>
        </row>
        <row r="11">
          <cell r="A11">
            <v>14</v>
          </cell>
          <cell r="B11">
            <v>1.6930000000000001</v>
          </cell>
          <cell r="C11">
            <v>2.25</v>
          </cell>
        </row>
        <row r="12">
          <cell r="A12">
            <v>18</v>
          </cell>
          <cell r="B12">
            <v>2.2570000000000001</v>
          </cell>
          <cell r="C12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opLeftCell="A34" zoomScaleNormal="100" zoomScaleSheetLayoutView="100" workbookViewId="0">
      <selection activeCell="B57" sqref="B57"/>
    </sheetView>
  </sheetViews>
  <sheetFormatPr defaultRowHeight="15"/>
  <cols>
    <col min="1" max="1" width="33.7109375" customWidth="1"/>
    <col min="2" max="2" width="12" bestFit="1" customWidth="1"/>
    <col min="3" max="3" width="8.140625" bestFit="1" customWidth="1"/>
    <col min="4" max="4" width="36" customWidth="1"/>
  </cols>
  <sheetData>
    <row r="1" spans="1:7" ht="31.5">
      <c r="A1" s="1" t="s">
        <v>134</v>
      </c>
    </row>
    <row r="3" spans="1:7" ht="15.75" thickBot="1"/>
    <row r="4" spans="1:7" ht="20.25" thickTop="1" thickBot="1">
      <c r="A4" s="162" t="s">
        <v>133</v>
      </c>
      <c r="B4" s="163"/>
      <c r="C4" s="163"/>
      <c r="D4" s="164"/>
      <c r="E4" s="2"/>
      <c r="F4" s="3"/>
      <c r="G4" s="3"/>
    </row>
    <row r="5" spans="1:7">
      <c r="A5" s="4" t="s">
        <v>0</v>
      </c>
      <c r="B5" s="5">
        <v>5.9</v>
      </c>
      <c r="C5" s="6" t="s">
        <v>1</v>
      </c>
      <c r="D5" s="7" t="s">
        <v>122</v>
      </c>
      <c r="E5" s="2"/>
      <c r="F5" s="3"/>
      <c r="G5" s="3"/>
    </row>
    <row r="6" spans="1:7" ht="30">
      <c r="A6" s="8" t="s">
        <v>3</v>
      </c>
      <c r="B6" s="9">
        <v>24</v>
      </c>
      <c r="C6" s="10"/>
      <c r="D6" s="16" t="s">
        <v>121</v>
      </c>
      <c r="E6" s="2"/>
      <c r="F6" s="3"/>
      <c r="G6" s="3"/>
    </row>
    <row r="7" spans="1:7">
      <c r="A7" s="8" t="s">
        <v>4</v>
      </c>
      <c r="B7" s="9">
        <v>78.34</v>
      </c>
      <c r="C7" s="10" t="s">
        <v>1</v>
      </c>
      <c r="D7" s="11" t="s">
        <v>152</v>
      </c>
      <c r="E7" s="2"/>
      <c r="F7" s="3"/>
      <c r="G7" s="3"/>
    </row>
    <row r="8" spans="1:7">
      <c r="A8" s="8" t="s">
        <v>5</v>
      </c>
      <c r="B8" s="12">
        <v>78.34</v>
      </c>
      <c r="C8" s="10" t="s">
        <v>1</v>
      </c>
      <c r="D8" s="11" t="s">
        <v>6</v>
      </c>
      <c r="E8" s="2"/>
      <c r="F8" s="3"/>
      <c r="G8" s="3"/>
    </row>
    <row r="9" spans="1:7">
      <c r="A9" s="13" t="s">
        <v>7</v>
      </c>
      <c r="B9" s="14">
        <f>B7/B6</f>
        <v>3.2641666666666667</v>
      </c>
      <c r="C9" s="10" t="s">
        <v>1</v>
      </c>
      <c r="D9" s="11" t="s">
        <v>8</v>
      </c>
      <c r="E9" s="2"/>
      <c r="F9" s="3"/>
      <c r="G9" s="3"/>
    </row>
    <row r="10" spans="1:7" ht="30">
      <c r="A10" s="8" t="s">
        <v>9</v>
      </c>
      <c r="B10" s="9">
        <v>5.9</v>
      </c>
      <c r="C10" s="10" t="s">
        <v>1</v>
      </c>
      <c r="D10" s="16" t="s">
        <v>123</v>
      </c>
      <c r="E10" s="2"/>
      <c r="F10" s="3"/>
      <c r="G10" s="3"/>
    </row>
    <row r="11" spans="1:7">
      <c r="A11" s="8" t="s">
        <v>10</v>
      </c>
      <c r="B11" s="9">
        <v>5.9</v>
      </c>
      <c r="C11" s="10" t="s">
        <v>1</v>
      </c>
      <c r="D11" s="11" t="s">
        <v>122</v>
      </c>
      <c r="E11" s="2"/>
      <c r="F11" s="3"/>
      <c r="G11" s="3"/>
    </row>
    <row r="12" spans="1:7">
      <c r="A12" s="8" t="s">
        <v>11</v>
      </c>
      <c r="B12" s="9">
        <v>6.56</v>
      </c>
      <c r="C12" s="10" t="s">
        <v>12</v>
      </c>
      <c r="D12" s="11" t="s">
        <v>124</v>
      </c>
      <c r="E12" s="2"/>
      <c r="F12" s="3"/>
      <c r="G12" s="3"/>
    </row>
    <row r="13" spans="1:7">
      <c r="A13" s="13" t="s">
        <v>13</v>
      </c>
      <c r="B13" s="9">
        <f>0.25*B7</f>
        <v>19.585000000000001</v>
      </c>
      <c r="C13" s="10" t="s">
        <v>1</v>
      </c>
      <c r="D13" s="11" t="s">
        <v>14</v>
      </c>
      <c r="E13" s="2"/>
      <c r="F13" s="3"/>
      <c r="G13" s="3"/>
    </row>
    <row r="14" spans="1:7" ht="30">
      <c r="A14" s="13" t="s">
        <v>15</v>
      </c>
      <c r="B14" s="9">
        <f>0.25*B8</f>
        <v>19.585000000000001</v>
      </c>
      <c r="C14" s="15" t="s">
        <v>1</v>
      </c>
      <c r="D14" s="16" t="s">
        <v>16</v>
      </c>
      <c r="E14" s="2"/>
      <c r="F14" s="3"/>
      <c r="G14" s="3"/>
    </row>
    <row r="15" spans="1:7">
      <c r="A15" s="13" t="s">
        <v>17</v>
      </c>
      <c r="B15" s="9">
        <f>b+16*t</f>
        <v>100.30000000000001</v>
      </c>
      <c r="C15" s="10" t="s">
        <v>1</v>
      </c>
      <c r="D15" s="11" t="s">
        <v>18</v>
      </c>
      <c r="E15" s="2"/>
      <c r="F15" s="3"/>
      <c r="G15" s="3"/>
    </row>
    <row r="16" spans="1:7">
      <c r="A16" s="13" t="s">
        <v>19</v>
      </c>
      <c r="B16" s="9">
        <f>B12*12</f>
        <v>78.72</v>
      </c>
      <c r="C16" s="10" t="s">
        <v>1</v>
      </c>
      <c r="D16" s="11" t="s">
        <v>20</v>
      </c>
      <c r="E16" s="2"/>
      <c r="F16" s="3"/>
      <c r="G16" s="3"/>
    </row>
    <row r="17" spans="1:7">
      <c r="A17" s="13" t="s">
        <v>21</v>
      </c>
      <c r="B17" s="9">
        <f>MIN(B13,B15:B16)</f>
        <v>19.585000000000001</v>
      </c>
      <c r="C17" s="10" t="s">
        <v>1</v>
      </c>
      <c r="D17" s="11" t="s">
        <v>22</v>
      </c>
      <c r="E17" s="2"/>
      <c r="F17" s="3"/>
      <c r="G17" s="3"/>
    </row>
    <row r="18" spans="1:7">
      <c r="A18" s="13" t="s">
        <v>26</v>
      </c>
      <c r="B18" s="9">
        <f>B17*t</f>
        <v>115.55150000000002</v>
      </c>
      <c r="C18" s="10" t="s">
        <v>23</v>
      </c>
      <c r="D18" s="11" t="s">
        <v>24</v>
      </c>
      <c r="E18" s="2"/>
      <c r="F18" s="3"/>
      <c r="G18" s="3"/>
    </row>
    <row r="19" spans="1:7">
      <c r="A19" s="13" t="s">
        <v>27</v>
      </c>
      <c r="B19" s="9">
        <f>t/2</f>
        <v>2.95</v>
      </c>
      <c r="C19" s="10" t="s">
        <v>1</v>
      </c>
      <c r="D19" s="11" t="s">
        <v>25</v>
      </c>
      <c r="E19" s="2"/>
      <c r="F19" s="3"/>
      <c r="G19" s="3"/>
    </row>
    <row r="20" spans="1:7">
      <c r="A20" s="13" t="s">
        <v>30</v>
      </c>
      <c r="B20" s="14">
        <f>(B17)*(t^3)*(1/12)</f>
        <v>335.19564291666666</v>
      </c>
      <c r="C20" s="10" t="s">
        <v>28</v>
      </c>
      <c r="D20" s="11" t="s">
        <v>29</v>
      </c>
      <c r="E20" s="2"/>
      <c r="F20" s="3"/>
      <c r="G20" s="3"/>
    </row>
    <row r="21" spans="1:7">
      <c r="A21" s="8" t="s">
        <v>31</v>
      </c>
      <c r="B21" s="9">
        <v>3000</v>
      </c>
      <c r="C21" s="10" t="s">
        <v>32</v>
      </c>
      <c r="D21" s="11" t="s">
        <v>127</v>
      </c>
      <c r="E21" s="2"/>
      <c r="F21" s="3"/>
      <c r="G21" s="3"/>
    </row>
    <row r="22" spans="1:7">
      <c r="A22" s="13" t="s">
        <v>33</v>
      </c>
      <c r="B22" s="9">
        <f>IF(fc&lt;4500,0.85, IF(fc&lt;5000,0.825,IF(fc&lt;5500,0.8,IF(fc&lt;6000,0.775,IF(fc&lt;6500,0.75,IF(fc&lt;7000,0.725, IF(fc&lt;7500,0.7, IF(fc&lt;8000,0.675,0.65))))))))</f>
        <v>0.85</v>
      </c>
      <c r="C22" s="10"/>
      <c r="D22" s="11" t="s">
        <v>34</v>
      </c>
      <c r="E22" s="2"/>
      <c r="F22" s="3"/>
      <c r="G22" s="3"/>
    </row>
    <row r="23" spans="1:7">
      <c r="A23" s="17" t="s">
        <v>35</v>
      </c>
      <c r="B23" s="18">
        <f>57000*SQRT(fc)</f>
        <v>3122018.5777794472</v>
      </c>
      <c r="C23" s="10" t="s">
        <v>32</v>
      </c>
      <c r="D23" s="11" t="s">
        <v>36</v>
      </c>
      <c r="E23" s="2"/>
      <c r="F23" s="3"/>
      <c r="G23" s="3"/>
    </row>
    <row r="24" spans="1:7" ht="15.75" thickBot="1">
      <c r="A24" s="19" t="s">
        <v>37</v>
      </c>
      <c r="B24" s="20">
        <v>29000000</v>
      </c>
      <c r="C24" s="21" t="s">
        <v>32</v>
      </c>
      <c r="D24" s="22" t="s">
        <v>2</v>
      </c>
      <c r="E24" s="2"/>
      <c r="F24" s="3"/>
      <c r="G24" s="3"/>
    </row>
    <row r="25" spans="1:7" ht="19.5" thickBot="1">
      <c r="A25" s="23" t="s">
        <v>126</v>
      </c>
      <c r="B25" s="24"/>
      <c r="C25" s="24"/>
      <c r="D25" s="25"/>
      <c r="E25" s="2"/>
      <c r="F25" s="3"/>
      <c r="G25" s="3"/>
    </row>
    <row r="26" spans="1:7">
      <c r="A26" s="4" t="s">
        <v>38</v>
      </c>
      <c r="B26" s="5">
        <v>3</v>
      </c>
      <c r="C26" s="6"/>
      <c r="D26" s="7" t="s">
        <v>2</v>
      </c>
      <c r="E26" s="2"/>
      <c r="F26" s="3"/>
      <c r="G26" s="3"/>
    </row>
    <row r="27" spans="1:7">
      <c r="A27" s="8" t="s">
        <v>39</v>
      </c>
      <c r="B27" s="12">
        <v>2</v>
      </c>
      <c r="C27" s="10"/>
      <c r="D27" s="11" t="s">
        <v>2</v>
      </c>
      <c r="E27" s="2"/>
      <c r="F27" s="3"/>
      <c r="G27" s="3"/>
    </row>
    <row r="28" spans="1:7">
      <c r="A28" s="8" t="s">
        <v>40</v>
      </c>
      <c r="B28" s="14">
        <v>0.98</v>
      </c>
      <c r="C28" s="10" t="s">
        <v>1</v>
      </c>
      <c r="D28" s="11" t="s">
        <v>139</v>
      </c>
      <c r="E28" s="2"/>
      <c r="F28" s="3"/>
      <c r="G28" s="3"/>
    </row>
    <row r="29" spans="1:7" ht="17.25">
      <c r="A29" s="13" t="s">
        <v>41</v>
      </c>
      <c r="B29" s="14">
        <f>VLOOKUP(B26,'[2]Lookup Tables'!A1:C12,3,TRUE)</f>
        <v>0.11</v>
      </c>
      <c r="C29" s="10" t="s">
        <v>42</v>
      </c>
      <c r="D29" s="11" t="s">
        <v>34</v>
      </c>
      <c r="E29" s="2"/>
      <c r="F29" s="3"/>
      <c r="G29" s="3"/>
    </row>
    <row r="30" spans="1:7">
      <c r="A30" s="13" t="s">
        <v>93</v>
      </c>
      <c r="B30" s="54">
        <f>VLOOKUP(B26,'[2]Lookup Tables'!A2:C13,2,TRUE)</f>
        <v>0.375</v>
      </c>
      <c r="C30" s="10" t="s">
        <v>1</v>
      </c>
      <c r="D30" s="11" t="s">
        <v>34</v>
      </c>
      <c r="E30" s="2"/>
      <c r="F30" s="3"/>
      <c r="G30" s="3"/>
    </row>
    <row r="31" spans="1:7">
      <c r="A31" s="13" t="s">
        <v>43</v>
      </c>
      <c r="B31" s="54">
        <f>MAX(1,B30)</f>
        <v>1</v>
      </c>
      <c r="C31" s="15" t="s">
        <v>1</v>
      </c>
      <c r="D31" s="11" t="s">
        <v>44</v>
      </c>
      <c r="E31" s="2"/>
      <c r="F31" s="3"/>
      <c r="G31" s="3"/>
    </row>
    <row r="32" spans="1:7" ht="30">
      <c r="A32" s="26" t="s">
        <v>45</v>
      </c>
      <c r="B32" s="9">
        <f>MIN(B17,B7/10,B8/10)</f>
        <v>7.8340000000000005</v>
      </c>
      <c r="C32" s="15" t="s">
        <v>1</v>
      </c>
      <c r="D32" s="51" t="s">
        <v>88</v>
      </c>
      <c r="E32" s="2"/>
      <c r="F32" s="3"/>
      <c r="G32" s="3"/>
    </row>
    <row r="33" spans="1:7">
      <c r="A33" s="8" t="s">
        <v>47</v>
      </c>
      <c r="B33" s="12">
        <v>2</v>
      </c>
      <c r="C33" s="10"/>
      <c r="D33" s="11" t="s">
        <v>154</v>
      </c>
      <c r="E33" s="2"/>
      <c r="F33" s="3"/>
      <c r="G33" s="3"/>
    </row>
    <row r="34" spans="1:7" ht="45">
      <c r="A34" s="13" t="s">
        <v>48</v>
      </c>
      <c r="B34" s="12">
        <f>B33*B30+(B33-1)*B31</f>
        <v>1.75</v>
      </c>
      <c r="C34" s="15" t="s">
        <v>1</v>
      </c>
      <c r="D34" s="16" t="s">
        <v>49</v>
      </c>
      <c r="E34" s="2"/>
      <c r="F34" s="3"/>
      <c r="G34" s="3"/>
    </row>
    <row r="35" spans="1:7">
      <c r="A35" s="13" t="s">
        <v>50</v>
      </c>
      <c r="B35" s="27" t="str">
        <f>IF(B34&lt;B32,"True","False")</f>
        <v>True</v>
      </c>
      <c r="C35" s="15"/>
      <c r="D35" s="11"/>
      <c r="E35" s="2"/>
      <c r="F35" s="3"/>
      <c r="G35" s="3"/>
    </row>
    <row r="36" spans="1:7" ht="31.5" customHeight="1">
      <c r="A36" s="8" t="s">
        <v>51</v>
      </c>
      <c r="B36" s="9">
        <v>40</v>
      </c>
      <c r="C36" s="10" t="s">
        <v>52</v>
      </c>
      <c r="D36" s="11" t="s">
        <v>2</v>
      </c>
      <c r="E36" s="2"/>
      <c r="F36" s="3"/>
      <c r="G36" s="3"/>
    </row>
    <row r="37" spans="1:7">
      <c r="A37" s="13" t="s">
        <v>53</v>
      </c>
      <c r="B37" s="14">
        <f>B29*B33</f>
        <v>0.22</v>
      </c>
      <c r="C37" s="10"/>
      <c r="D37" s="11" t="s">
        <v>54</v>
      </c>
      <c r="E37" s="2"/>
      <c r="F37" s="3"/>
      <c r="G37" s="3"/>
    </row>
    <row r="38" spans="1:7" ht="30">
      <c r="A38" s="13" t="s">
        <v>55</v>
      </c>
      <c r="B38" s="14">
        <f>B10-B28-B27/8-B30/2</f>
        <v>4.4824999999999999</v>
      </c>
      <c r="C38" s="10" t="s">
        <v>1</v>
      </c>
      <c r="D38" s="16" t="s">
        <v>56</v>
      </c>
      <c r="E38" s="2"/>
      <c r="F38" s="3"/>
      <c r="G38" s="3"/>
    </row>
    <row r="39" spans="1:7">
      <c r="A39" s="13" t="s">
        <v>57</v>
      </c>
      <c r="B39" s="9">
        <v>3.0000000000000001E-3</v>
      </c>
      <c r="C39" s="10"/>
      <c r="D39" s="11"/>
      <c r="E39" s="2"/>
      <c r="F39" s="3"/>
      <c r="G39" s="3"/>
    </row>
    <row r="40" spans="1:7" ht="15.75" thickBot="1">
      <c r="A40" s="28" t="s">
        <v>58</v>
      </c>
      <c r="B40" s="29">
        <f>fy/(B24/1000)</f>
        <v>1.3793103448275861E-3</v>
      </c>
      <c r="C40" s="21"/>
      <c r="D40" s="22" t="s">
        <v>59</v>
      </c>
      <c r="E40" s="2"/>
      <c r="F40" s="3"/>
      <c r="G40" s="3"/>
    </row>
    <row r="41" spans="1:7" ht="19.5" thickBot="1">
      <c r="A41" s="165" t="s">
        <v>86</v>
      </c>
      <c r="B41" s="166"/>
      <c r="C41" s="166"/>
      <c r="D41" s="167"/>
      <c r="E41" s="2"/>
      <c r="F41" s="3"/>
      <c r="G41" s="3"/>
    </row>
    <row r="42" spans="1:7">
      <c r="A42" s="30" t="s">
        <v>60</v>
      </c>
      <c r="B42" s="5">
        <f>As*fy</f>
        <v>8.8000000000000007</v>
      </c>
      <c r="C42" s="6" t="s">
        <v>61</v>
      </c>
      <c r="D42" s="7" t="s">
        <v>62</v>
      </c>
      <c r="E42" s="2"/>
      <c r="F42" s="3"/>
      <c r="G42" s="3"/>
    </row>
    <row r="43" spans="1:7">
      <c r="A43" s="31" t="s">
        <v>63</v>
      </c>
      <c r="B43" s="9">
        <f>B42</f>
        <v>8.8000000000000007</v>
      </c>
      <c r="C43" s="10" t="s">
        <v>61</v>
      </c>
      <c r="D43" s="11" t="s">
        <v>64</v>
      </c>
      <c r="E43" s="2"/>
      <c r="F43" s="3"/>
      <c r="G43" s="3"/>
    </row>
    <row r="44" spans="1:7">
      <c r="A44" s="17" t="s">
        <v>65</v>
      </c>
      <c r="B44" s="14">
        <f>B43*1000/((0.85*fc)*B17)</f>
        <v>0.17620527915021</v>
      </c>
      <c r="C44" s="10" t="s">
        <v>1</v>
      </c>
      <c r="D44" s="11" t="s">
        <v>66</v>
      </c>
      <c r="E44" s="2"/>
      <c r="F44" s="3"/>
      <c r="G44" s="3"/>
    </row>
    <row r="45" spans="1:7">
      <c r="A45" s="17" t="s">
        <v>67</v>
      </c>
      <c r="B45" s="32" t="str">
        <f>IF(a&lt;t,"True","False")</f>
        <v>True</v>
      </c>
      <c r="C45" s="10"/>
      <c r="D45" s="11"/>
      <c r="E45" s="2"/>
      <c r="F45" s="3"/>
      <c r="G45" s="3"/>
    </row>
    <row r="46" spans="1:7">
      <c r="A46" s="17" t="s">
        <v>68</v>
      </c>
      <c r="B46" s="14">
        <f>d-a/2</f>
        <v>4.3943973604248949</v>
      </c>
      <c r="C46" s="10" t="s">
        <v>1</v>
      </c>
      <c r="D46" s="11" t="s">
        <v>69</v>
      </c>
      <c r="E46" s="2"/>
      <c r="F46" s="3"/>
      <c r="G46" s="3"/>
    </row>
    <row r="47" spans="1:7">
      <c r="A47" s="17" t="s">
        <v>70</v>
      </c>
      <c r="B47" s="39">
        <f>B42*B46/12</f>
        <v>3.2225580643115901</v>
      </c>
      <c r="C47" s="10" t="s">
        <v>71</v>
      </c>
      <c r="D47" s="34" t="s">
        <v>72</v>
      </c>
      <c r="E47" s="2"/>
      <c r="F47" s="3"/>
      <c r="G47" s="3"/>
    </row>
    <row r="48" spans="1:7" ht="30">
      <c r="A48" s="35" t="s">
        <v>73</v>
      </c>
      <c r="B48" s="36">
        <f>a/beta1</f>
        <v>0.20730032841201176</v>
      </c>
      <c r="C48" s="10" t="s">
        <v>1</v>
      </c>
      <c r="D48" s="11" t="s">
        <v>74</v>
      </c>
      <c r="E48" s="2"/>
      <c r="F48" s="3"/>
      <c r="G48" s="3"/>
    </row>
    <row r="49" spans="1:7">
      <c r="A49" s="13" t="s">
        <v>75</v>
      </c>
      <c r="B49" s="37">
        <f>ey/B48*(d-B48)</f>
        <v>2.8445816648706896E-2</v>
      </c>
      <c r="C49" s="10"/>
      <c r="D49" s="11" t="s">
        <v>76</v>
      </c>
      <c r="E49" s="2"/>
      <c r="F49" s="3"/>
      <c r="G49" s="3"/>
    </row>
    <row r="50" spans="1:7">
      <c r="A50" s="13" t="s">
        <v>77</v>
      </c>
      <c r="B50" s="38" t="str">
        <f>IF(B49&gt;0.005,"True",IF(B49=0.005,"True","False"))</f>
        <v>True</v>
      </c>
      <c r="C50" s="10"/>
      <c r="D50" s="11" t="s">
        <v>78</v>
      </c>
      <c r="E50" s="2"/>
      <c r="F50" s="3"/>
      <c r="G50" s="3"/>
    </row>
    <row r="51" spans="1:7">
      <c r="A51" s="8" t="s">
        <v>79</v>
      </c>
      <c r="B51" s="33">
        <v>0.9</v>
      </c>
      <c r="C51" s="10"/>
      <c r="D51" s="34" t="s">
        <v>80</v>
      </c>
      <c r="E51" s="2"/>
      <c r="F51" s="3"/>
      <c r="G51" s="3"/>
    </row>
    <row r="52" spans="1:7">
      <c r="A52" s="8" t="s">
        <v>89</v>
      </c>
      <c r="B52" s="33">
        <v>17.134</v>
      </c>
      <c r="C52" s="10" t="s">
        <v>129</v>
      </c>
      <c r="D52" s="34" t="s">
        <v>135</v>
      </c>
      <c r="E52" s="2"/>
      <c r="F52" s="3"/>
      <c r="G52" s="3"/>
    </row>
    <row r="53" spans="1:7">
      <c r="A53" s="136" t="s">
        <v>89</v>
      </c>
      <c r="B53" s="137">
        <f>B52*0.22481*3.28</f>
        <v>12.6342140912</v>
      </c>
      <c r="C53" s="138" t="s">
        <v>71</v>
      </c>
      <c r="D53" s="139"/>
    </row>
    <row r="54" spans="1:7">
      <c r="A54" s="140" t="s">
        <v>81</v>
      </c>
      <c r="B54" s="141">
        <f>B51*B47</f>
        <v>2.9003022578804312</v>
      </c>
      <c r="C54" s="138" t="s">
        <v>71</v>
      </c>
      <c r="D54" s="142" t="s">
        <v>81</v>
      </c>
    </row>
    <row r="55" spans="1:7">
      <c r="A55" s="140" t="s">
        <v>82</v>
      </c>
      <c r="B55" s="143" t="str">
        <f>IF(B54&gt;B53,"True","False")</f>
        <v>False</v>
      </c>
      <c r="C55" s="138"/>
      <c r="D55" s="142"/>
    </row>
    <row r="56" spans="1:7">
      <c r="A56" s="181" t="s">
        <v>159</v>
      </c>
      <c r="B56" s="184">
        <f>B47/0.22481/3.28</f>
        <v>4.3703003190656258</v>
      </c>
      <c r="C56" s="182" t="s">
        <v>129</v>
      </c>
      <c r="D56" s="183"/>
    </row>
    <row r="57" spans="1:7">
      <c r="A57" s="181" t="s">
        <v>160</v>
      </c>
      <c r="B57" s="184">
        <f>B54/0.22481/3.28</f>
        <v>3.9332702871590635</v>
      </c>
      <c r="C57" s="182" t="s">
        <v>129</v>
      </c>
      <c r="D57" s="183"/>
    </row>
    <row r="58" spans="1:7" ht="30">
      <c r="A58" s="40" t="s">
        <v>83</v>
      </c>
      <c r="B58" s="41">
        <f>IF(fc&lt;4440,(200/(fy*1000))*b*d,3*SQRT(fc)/(fy*1000)*b*d)</f>
        <v>0.13223375000000001</v>
      </c>
      <c r="C58" s="42" t="s">
        <v>84</v>
      </c>
      <c r="D58" s="43" t="s">
        <v>131</v>
      </c>
    </row>
    <row r="59" spans="1:7" ht="15.75" thickBot="1">
      <c r="A59" s="44" t="s">
        <v>85</v>
      </c>
      <c r="B59" s="45" t="str">
        <f>IF(As&gt;B58,"True","False")</f>
        <v>True</v>
      </c>
      <c r="C59" s="48"/>
      <c r="D59" s="47"/>
    </row>
    <row r="60" spans="1:7" ht="15.75" thickTop="1"/>
  </sheetData>
  <mergeCells count="2">
    <mergeCell ref="A4:D4"/>
    <mergeCell ref="A41:D41"/>
  </mergeCells>
  <pageMargins left="0.7" right="0.7" top="0.75" bottom="0.75" header="0.3" footer="0.3"/>
  <pageSetup orientation="portrait" horizontalDpi="4294967294" r:id="rId1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46"/>
  <sheetViews>
    <sheetView tabSelected="1" topLeftCell="A21" zoomScaleNormal="100" zoomScaleSheetLayoutView="100" workbookViewId="0">
      <selection activeCell="B22" sqref="B22"/>
    </sheetView>
  </sheetViews>
  <sheetFormatPr defaultRowHeight="15"/>
  <cols>
    <col min="1" max="1" width="33.7109375" customWidth="1"/>
    <col min="2" max="2" width="12" bestFit="1" customWidth="1"/>
    <col min="3" max="3" width="8.140625" bestFit="1" customWidth="1"/>
    <col min="4" max="4" width="36" customWidth="1"/>
  </cols>
  <sheetData>
    <row r="1" spans="1:7" ht="31.5">
      <c r="A1" s="1" t="s">
        <v>156</v>
      </c>
    </row>
    <row r="3" spans="1:7" ht="15.75" thickBot="1"/>
    <row r="4" spans="1:7" ht="19.5" thickTop="1">
      <c r="A4" s="162" t="s">
        <v>87</v>
      </c>
      <c r="B4" s="163"/>
      <c r="C4" s="163"/>
      <c r="D4" s="164"/>
      <c r="E4" s="2"/>
      <c r="F4" s="3"/>
      <c r="G4" s="3"/>
    </row>
    <row r="5" spans="1:7" ht="30">
      <c r="A5" s="8" t="s">
        <v>9</v>
      </c>
      <c r="B5" s="9">
        <v>5.9</v>
      </c>
      <c r="C5" s="10" t="s">
        <v>1</v>
      </c>
      <c r="D5" s="16" t="s">
        <v>123</v>
      </c>
      <c r="E5" s="2"/>
      <c r="F5" s="3"/>
      <c r="G5" s="3"/>
    </row>
    <row r="6" spans="1:7">
      <c r="A6" s="8" t="s">
        <v>10</v>
      </c>
      <c r="B6" s="9">
        <v>11.02</v>
      </c>
      <c r="C6" s="10" t="s">
        <v>1</v>
      </c>
      <c r="D6" s="11" t="s">
        <v>148</v>
      </c>
      <c r="E6" s="2"/>
      <c r="F6" s="3"/>
      <c r="G6" s="3"/>
    </row>
    <row r="7" spans="1:7">
      <c r="A7" s="13" t="s">
        <v>26</v>
      </c>
      <c r="B7" s="9">
        <f>b*B5</f>
        <v>65.018000000000001</v>
      </c>
      <c r="C7" s="10" t="s">
        <v>23</v>
      </c>
      <c r="D7" s="11" t="s">
        <v>137</v>
      </c>
      <c r="E7" s="2"/>
      <c r="F7" s="3"/>
      <c r="G7" s="3"/>
    </row>
    <row r="8" spans="1:7">
      <c r="A8" s="13" t="s">
        <v>27</v>
      </c>
      <c r="B8" s="14">
        <f>B5/2</f>
        <v>2.95</v>
      </c>
      <c r="C8" s="10" t="s">
        <v>1</v>
      </c>
      <c r="D8" s="11" t="s">
        <v>25</v>
      </c>
      <c r="E8" s="2"/>
      <c r="F8" s="3"/>
      <c r="G8" s="3"/>
    </row>
    <row r="9" spans="1:7">
      <c r="A9" s="13" t="s">
        <v>30</v>
      </c>
      <c r="B9" s="14">
        <f>(b)*(B5^3)*(1/12)</f>
        <v>188.60638166666666</v>
      </c>
      <c r="C9" s="10" t="s">
        <v>28</v>
      </c>
      <c r="D9" s="11" t="s">
        <v>138</v>
      </c>
      <c r="E9" s="2"/>
      <c r="G9" s="3"/>
    </row>
    <row r="10" spans="1:7">
      <c r="A10" s="8" t="s">
        <v>144</v>
      </c>
      <c r="B10" s="149">
        <v>8250</v>
      </c>
      <c r="C10" s="10" t="s">
        <v>32</v>
      </c>
      <c r="D10" s="11" t="s">
        <v>2</v>
      </c>
      <c r="E10" s="2"/>
      <c r="F10" s="3" t="s">
        <v>128</v>
      </c>
      <c r="G10" s="3"/>
    </row>
    <row r="11" spans="1:7">
      <c r="A11" s="13" t="s">
        <v>33</v>
      </c>
      <c r="B11" s="9">
        <f>IF(fcbrick&lt;4500,0.85, IF(fcbrick&lt;5000,0.825,IF(fcbrick&lt;5500,0.8,IF(fcbrick&lt;6000,0.775,IF(fcbrick&lt;6500,0.75,IF(fcbrick&lt;7000,0.725, IF(fcbrick&lt;7500,0.7, IF(fcbrick&lt;8000,0.675,0.65))))))))</f>
        <v>0.65</v>
      </c>
      <c r="C11" s="10"/>
      <c r="D11" s="11" t="s">
        <v>34</v>
      </c>
      <c r="E11" s="2"/>
      <c r="F11" s="3"/>
      <c r="G11" s="3"/>
    </row>
    <row r="12" spans="1:7">
      <c r="A12" s="17" t="s">
        <v>35</v>
      </c>
      <c r="B12" s="18">
        <f>57000*SQRT(fcbrick)</f>
        <v>5177282.1055067107</v>
      </c>
      <c r="C12" s="10" t="s">
        <v>32</v>
      </c>
      <c r="D12" s="11" t="s">
        <v>36</v>
      </c>
      <c r="E12" s="2"/>
      <c r="F12" s="3"/>
      <c r="G12" s="3"/>
    </row>
    <row r="13" spans="1:7" ht="15.75" thickBot="1">
      <c r="A13" s="19" t="s">
        <v>37</v>
      </c>
      <c r="B13" s="20">
        <v>29000000</v>
      </c>
      <c r="C13" s="21" t="s">
        <v>32</v>
      </c>
      <c r="D13" s="22" t="s">
        <v>2</v>
      </c>
      <c r="E13" s="2"/>
      <c r="F13" s="3"/>
      <c r="G13" s="3"/>
    </row>
    <row r="14" spans="1:7" ht="19.5" thickBot="1">
      <c r="A14" s="23" t="s">
        <v>126</v>
      </c>
      <c r="B14" s="24"/>
      <c r="C14" s="24"/>
      <c r="D14" s="25"/>
      <c r="E14" s="2"/>
      <c r="F14" s="3"/>
      <c r="G14" s="3"/>
    </row>
    <row r="15" spans="1:7">
      <c r="A15" s="4" t="s">
        <v>38</v>
      </c>
      <c r="B15" s="5">
        <v>3</v>
      </c>
      <c r="C15" s="6"/>
      <c r="D15" s="7" t="s">
        <v>2</v>
      </c>
      <c r="E15" s="2"/>
      <c r="F15" s="3"/>
      <c r="G15" s="3"/>
    </row>
    <row r="16" spans="1:7">
      <c r="A16" s="8" t="s">
        <v>39</v>
      </c>
      <c r="B16" s="12">
        <v>0</v>
      </c>
      <c r="C16" s="10"/>
      <c r="D16" s="11" t="s">
        <v>2</v>
      </c>
      <c r="E16" s="2"/>
      <c r="F16" s="3"/>
      <c r="G16" s="3"/>
    </row>
    <row r="17" spans="1:7">
      <c r="A17" s="8" t="s">
        <v>40</v>
      </c>
      <c r="B17" s="14">
        <v>0.98</v>
      </c>
      <c r="C17" s="10" t="s">
        <v>1</v>
      </c>
      <c r="D17" s="11" t="s">
        <v>139</v>
      </c>
      <c r="E17" s="2"/>
      <c r="F17" s="3"/>
      <c r="G17" s="3"/>
    </row>
    <row r="18" spans="1:7" ht="17.25">
      <c r="A18" s="13" t="s">
        <v>41</v>
      </c>
      <c r="B18" s="14">
        <f>VLOOKUP(B15,'Lookup Tables'!A1:C12,3,TRUE)</f>
        <v>0.11</v>
      </c>
      <c r="C18" s="10" t="s">
        <v>42</v>
      </c>
      <c r="D18" s="11" t="s">
        <v>34</v>
      </c>
      <c r="E18" s="2"/>
      <c r="F18" s="3"/>
      <c r="G18" s="3"/>
    </row>
    <row r="19" spans="1:7">
      <c r="A19" s="13" t="s">
        <v>93</v>
      </c>
      <c r="B19" s="54">
        <f>VLOOKUP(B15,'Lookup Tables'!A2:C13,2,TRUE)</f>
        <v>0.375</v>
      </c>
      <c r="C19" s="10" t="s">
        <v>1</v>
      </c>
      <c r="D19" s="11" t="s">
        <v>34</v>
      </c>
      <c r="E19" s="2"/>
      <c r="F19" s="3"/>
      <c r="G19" s="3"/>
    </row>
    <row r="20" spans="1:7">
      <c r="A20" s="13" t="s">
        <v>43</v>
      </c>
      <c r="B20" s="54">
        <f>MAX(1,B19)</f>
        <v>1</v>
      </c>
      <c r="C20" s="15" t="s">
        <v>1</v>
      </c>
      <c r="D20" s="11" t="s">
        <v>44</v>
      </c>
      <c r="E20" s="2"/>
      <c r="F20" s="3"/>
      <c r="G20" s="3"/>
    </row>
    <row r="21" spans="1:7">
      <c r="A21" s="8" t="s">
        <v>47</v>
      </c>
      <c r="B21" s="12">
        <v>1</v>
      </c>
      <c r="C21" s="10"/>
      <c r="D21" s="11" t="s">
        <v>2</v>
      </c>
      <c r="E21" s="2"/>
      <c r="F21" s="3"/>
      <c r="G21" s="3"/>
    </row>
    <row r="22" spans="1:7">
      <c r="A22" s="8" t="s">
        <v>51</v>
      </c>
      <c r="B22" s="9">
        <v>40</v>
      </c>
      <c r="C22" s="10" t="s">
        <v>52</v>
      </c>
      <c r="D22" s="11" t="s">
        <v>2</v>
      </c>
      <c r="E22" s="2"/>
      <c r="F22" s="3"/>
      <c r="G22" s="3"/>
    </row>
    <row r="23" spans="1:7">
      <c r="A23" s="13" t="s">
        <v>53</v>
      </c>
      <c r="B23" s="14">
        <f>B18*B21</f>
        <v>0.11</v>
      </c>
      <c r="C23" s="10"/>
      <c r="D23" s="11" t="s">
        <v>54</v>
      </c>
      <c r="E23" s="2"/>
      <c r="F23" s="3"/>
      <c r="G23" s="3"/>
    </row>
    <row r="24" spans="1:7" ht="30">
      <c r="A24" s="13" t="s">
        <v>55</v>
      </c>
      <c r="B24" s="14">
        <f>B5-B17-B16/8-B19/2</f>
        <v>4.7324999999999999</v>
      </c>
      <c r="C24" s="10" t="s">
        <v>1</v>
      </c>
      <c r="D24" s="16" t="s">
        <v>56</v>
      </c>
      <c r="E24" s="2"/>
      <c r="F24" s="3"/>
      <c r="G24" s="3"/>
    </row>
    <row r="25" spans="1:7">
      <c r="A25" s="13" t="s">
        <v>57</v>
      </c>
      <c r="B25" s="9">
        <v>3.0000000000000001E-3</v>
      </c>
      <c r="C25" s="10"/>
      <c r="D25" s="11"/>
      <c r="E25" s="2"/>
      <c r="F25" s="3"/>
      <c r="G25" s="3"/>
    </row>
    <row r="26" spans="1:7" ht="15.75" thickBot="1">
      <c r="A26" s="28" t="s">
        <v>58</v>
      </c>
      <c r="B26" s="29">
        <f>fy/(B13/1000)</f>
        <v>1.3793103448275861E-3</v>
      </c>
      <c r="C26" s="21"/>
      <c r="D26" s="22" t="s">
        <v>59</v>
      </c>
      <c r="E26" s="2"/>
      <c r="F26" s="3"/>
      <c r="G26" s="3"/>
    </row>
    <row r="27" spans="1:7" ht="19.5" thickBot="1">
      <c r="A27" s="165" t="s">
        <v>86</v>
      </c>
      <c r="B27" s="166"/>
      <c r="C27" s="166"/>
      <c r="D27" s="167"/>
      <c r="E27" s="2"/>
      <c r="F27" s="3"/>
      <c r="G27" s="3"/>
    </row>
    <row r="28" spans="1:7">
      <c r="A28" s="30" t="s">
        <v>60</v>
      </c>
      <c r="B28" s="5">
        <f>As*fy</f>
        <v>4.4000000000000004</v>
      </c>
      <c r="C28" s="6" t="s">
        <v>61</v>
      </c>
      <c r="D28" s="7" t="s">
        <v>62</v>
      </c>
      <c r="E28" s="2"/>
      <c r="F28" s="3"/>
      <c r="G28" s="3"/>
    </row>
    <row r="29" spans="1:7">
      <c r="A29" s="31" t="s">
        <v>63</v>
      </c>
      <c r="B29" s="9">
        <f>B28</f>
        <v>4.4000000000000004</v>
      </c>
      <c r="C29" s="10" t="s">
        <v>61</v>
      </c>
      <c r="D29" s="11" t="s">
        <v>64</v>
      </c>
      <c r="E29" s="2"/>
      <c r="F29" s="3"/>
      <c r="G29" s="3"/>
    </row>
    <row r="30" spans="1:7">
      <c r="A30" s="17" t="s">
        <v>65</v>
      </c>
      <c r="B30" s="14">
        <f>B29*1000/((0.85*fcbrick)*b)</f>
        <v>5.6937475534678483E-2</v>
      </c>
      <c r="C30" s="10" t="s">
        <v>1</v>
      </c>
      <c r="D30" s="11" t="s">
        <v>66</v>
      </c>
      <c r="E30" s="2"/>
      <c r="F30" s="3"/>
      <c r="G30" s="3"/>
    </row>
    <row r="31" spans="1:7">
      <c r="A31" s="17" t="s">
        <v>67</v>
      </c>
      <c r="B31" s="32" t="str">
        <f>IF(a&lt;B5,"True","False")</f>
        <v>True</v>
      </c>
      <c r="C31" s="10"/>
      <c r="D31" s="11"/>
      <c r="E31" s="2"/>
      <c r="F31" s="3"/>
      <c r="G31" s="3"/>
    </row>
    <row r="32" spans="1:7">
      <c r="A32" s="17" t="s">
        <v>68</v>
      </c>
      <c r="B32" s="14">
        <f>d-a/2</f>
        <v>4.704031262232661</v>
      </c>
      <c r="C32" s="10" t="s">
        <v>1</v>
      </c>
      <c r="D32" s="11" t="s">
        <v>69</v>
      </c>
      <c r="E32" s="2"/>
      <c r="F32" s="3"/>
      <c r="G32" s="3"/>
    </row>
    <row r="33" spans="1:7">
      <c r="A33" s="140" t="s">
        <v>70</v>
      </c>
      <c r="B33" s="160">
        <f>B28*B32/12</f>
        <v>1.7248114628186426</v>
      </c>
      <c r="C33" s="138" t="s">
        <v>71</v>
      </c>
      <c r="D33" s="142" t="s">
        <v>72</v>
      </c>
      <c r="E33" s="2"/>
      <c r="F33" s="3"/>
      <c r="G33" s="3"/>
    </row>
    <row r="34" spans="1:7" ht="30">
      <c r="A34" s="35" t="s">
        <v>73</v>
      </c>
      <c r="B34" s="36">
        <f>a/beta1</f>
        <v>8.7596116207197663E-2</v>
      </c>
      <c r="C34" s="10" t="s">
        <v>1</v>
      </c>
      <c r="D34" s="11" t="s">
        <v>74</v>
      </c>
      <c r="E34" s="2"/>
      <c r="F34" s="3"/>
      <c r="G34" s="3"/>
    </row>
    <row r="35" spans="1:7">
      <c r="A35" s="13" t="s">
        <v>75</v>
      </c>
      <c r="B35" s="37">
        <f>ey/B34*(d-B34)</f>
        <v>7.3139817780172409E-2</v>
      </c>
      <c r="C35" s="10"/>
      <c r="D35" s="11" t="s">
        <v>76</v>
      </c>
      <c r="E35" s="2"/>
      <c r="F35" s="3"/>
      <c r="G35" s="3"/>
    </row>
    <row r="36" spans="1:7">
      <c r="A36" s="13" t="s">
        <v>77</v>
      </c>
      <c r="B36" s="38" t="str">
        <f>IF(B35&gt;0.005,"True",IF(B35=0.005,"True","False"))</f>
        <v>True</v>
      </c>
      <c r="C36" s="10"/>
      <c r="D36" s="11" t="s">
        <v>78</v>
      </c>
      <c r="E36" s="2"/>
      <c r="F36" s="3"/>
      <c r="G36" s="3"/>
    </row>
    <row r="37" spans="1:7">
      <c r="A37" s="8" t="s">
        <v>79</v>
      </c>
      <c r="B37" s="33">
        <v>0.9</v>
      </c>
      <c r="C37" s="10"/>
      <c r="D37" s="34" t="s">
        <v>80</v>
      </c>
    </row>
    <row r="38" spans="1:7">
      <c r="A38" s="158" t="s">
        <v>89</v>
      </c>
      <c r="B38" s="137">
        <v>2.411</v>
      </c>
      <c r="C38" s="138" t="s">
        <v>129</v>
      </c>
      <c r="D38" s="142" t="s">
        <v>149</v>
      </c>
    </row>
    <row r="39" spans="1:7">
      <c r="A39" s="136" t="s">
        <v>89</v>
      </c>
      <c r="B39" s="137">
        <f>B38*0.22481*3.28</f>
        <v>1.7778154648000002</v>
      </c>
      <c r="C39" s="138" t="s">
        <v>71</v>
      </c>
      <c r="D39" s="139"/>
    </row>
    <row r="40" spans="1:7">
      <c r="A40" s="140" t="s">
        <v>81</v>
      </c>
      <c r="B40" s="160">
        <f>B37*B33</f>
        <v>1.5523303165367783</v>
      </c>
      <c r="C40" s="138" t="s">
        <v>71</v>
      </c>
      <c r="D40" s="142" t="s">
        <v>81</v>
      </c>
    </row>
    <row r="41" spans="1:7">
      <c r="A41" s="140" t="s">
        <v>82</v>
      </c>
      <c r="B41" s="143" t="str">
        <f>IF(B40&gt;B39,"True","False")</f>
        <v>False</v>
      </c>
      <c r="C41" s="138"/>
      <c r="D41" s="142"/>
    </row>
    <row r="42" spans="1:7">
      <c r="A42" s="181" t="s">
        <v>159</v>
      </c>
      <c r="B42" s="184">
        <f>B33/0.22481/3.28</f>
        <v>2.3391181588824637</v>
      </c>
      <c r="C42" s="182" t="s">
        <v>129</v>
      </c>
      <c r="D42" s="183"/>
    </row>
    <row r="43" spans="1:7">
      <c r="A43" s="181" t="s">
        <v>160</v>
      </c>
      <c r="B43" s="184">
        <f>B40/0.22481/3.28</f>
        <v>2.1052063429942174</v>
      </c>
      <c r="C43" s="182" t="s">
        <v>129</v>
      </c>
      <c r="D43" s="183"/>
    </row>
    <row r="44" spans="1:7" ht="30">
      <c r="A44" s="40" t="s">
        <v>83</v>
      </c>
      <c r="B44" s="41">
        <f>IF(fcbrick&lt;4440,(200/(fy*1000))*b*d,3*SQRT(fcbrick)/(fy*1000)*b*d)</f>
        <v>0.35527156968250229</v>
      </c>
      <c r="C44" s="42" t="s">
        <v>84</v>
      </c>
      <c r="D44" s="43" t="s">
        <v>131</v>
      </c>
    </row>
    <row r="45" spans="1:7" ht="15.75" thickBot="1">
      <c r="A45" s="44" t="s">
        <v>85</v>
      </c>
      <c r="B45" s="45" t="str">
        <f>IF(As&gt;B44,"True","False")</f>
        <v>False</v>
      </c>
      <c r="C45" s="48"/>
      <c r="D45" s="47"/>
    </row>
    <row r="46" spans="1:7" ht="15.75" thickTop="1"/>
  </sheetData>
  <mergeCells count="2">
    <mergeCell ref="A4:D4"/>
    <mergeCell ref="A27:D27"/>
  </mergeCells>
  <pageMargins left="0.7" right="0.7" top="0.75" bottom="0.75" header="0.3" footer="0.3"/>
  <pageSetup orientation="portrait" horizontalDpi="4294967294" r:id="rId1"/>
  <rowBreaks count="1" manualBreakCount="1">
    <brk id="1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G46"/>
  <sheetViews>
    <sheetView topLeftCell="A22" zoomScaleNormal="100" zoomScaleSheetLayoutView="100" workbookViewId="0">
      <selection activeCell="B43" sqref="B43"/>
    </sheetView>
  </sheetViews>
  <sheetFormatPr defaultRowHeight="15"/>
  <cols>
    <col min="1" max="1" width="33.7109375" customWidth="1"/>
    <col min="2" max="2" width="12" bestFit="1" customWidth="1"/>
    <col min="3" max="3" width="8.140625" bestFit="1" customWidth="1"/>
    <col min="4" max="4" width="36" customWidth="1"/>
  </cols>
  <sheetData>
    <row r="1" spans="1:7" ht="31.5">
      <c r="A1" s="1" t="s">
        <v>155</v>
      </c>
    </row>
    <row r="3" spans="1:7" ht="15.75" thickBot="1"/>
    <row r="4" spans="1:7" ht="19.5" thickTop="1">
      <c r="A4" s="178" t="s">
        <v>87</v>
      </c>
      <c r="B4" s="179"/>
      <c r="C4" s="179"/>
      <c r="D4" s="180"/>
      <c r="E4" s="2"/>
      <c r="F4" s="3"/>
      <c r="G4" s="3"/>
    </row>
    <row r="5" spans="1:7" ht="30">
      <c r="A5" s="13" t="s">
        <v>9</v>
      </c>
      <c r="B5" s="9">
        <f>'Masonry Flexural'!B5</f>
        <v>5.9</v>
      </c>
      <c r="C5" s="10" t="s">
        <v>1</v>
      </c>
      <c r="D5" s="16" t="s">
        <v>123</v>
      </c>
      <c r="E5" s="2"/>
      <c r="F5" s="3"/>
      <c r="G5" s="3"/>
    </row>
    <row r="6" spans="1:7">
      <c r="A6" s="13" t="s">
        <v>10</v>
      </c>
      <c r="B6" s="9">
        <f>'Masonry Flexural'!B6</f>
        <v>11.02</v>
      </c>
      <c r="C6" s="10" t="s">
        <v>1</v>
      </c>
      <c r="D6" s="11" t="s">
        <v>148</v>
      </c>
      <c r="E6" s="2"/>
      <c r="F6" s="3"/>
      <c r="G6" s="3"/>
    </row>
    <row r="7" spans="1:7">
      <c r="A7" s="13" t="s">
        <v>26</v>
      </c>
      <c r="B7" s="9">
        <f>'Masonry Flexural'!B7</f>
        <v>65.018000000000001</v>
      </c>
      <c r="C7" s="10" t="s">
        <v>23</v>
      </c>
      <c r="D7" s="11" t="s">
        <v>137</v>
      </c>
      <c r="E7" s="2"/>
      <c r="F7" s="3"/>
      <c r="G7" s="3"/>
    </row>
    <row r="8" spans="1:7">
      <c r="A8" s="13" t="s">
        <v>27</v>
      </c>
      <c r="B8" s="9">
        <f>B5/2</f>
        <v>2.95</v>
      </c>
      <c r="C8" s="10" t="s">
        <v>1</v>
      </c>
      <c r="D8" s="11" t="s">
        <v>25</v>
      </c>
      <c r="E8" s="2"/>
      <c r="F8" s="3"/>
      <c r="G8" s="3"/>
    </row>
    <row r="9" spans="1:7">
      <c r="A9" s="13" t="s">
        <v>30</v>
      </c>
      <c r="B9" s="14">
        <f>(b)*(B5^3)*(1/12)</f>
        <v>188.60638166666666</v>
      </c>
      <c r="C9" s="10" t="s">
        <v>28</v>
      </c>
      <c r="D9" s="11" t="s">
        <v>138</v>
      </c>
      <c r="E9" s="2"/>
      <c r="G9" s="3"/>
    </row>
    <row r="10" spans="1:7">
      <c r="A10" s="13" t="s">
        <v>144</v>
      </c>
      <c r="B10" s="9">
        <f>'Masonry Flexural'!B10</f>
        <v>8250</v>
      </c>
      <c r="C10" s="10" t="s">
        <v>32</v>
      </c>
      <c r="D10" s="11" t="s">
        <v>2</v>
      </c>
      <c r="E10" s="2"/>
      <c r="F10" s="3" t="s">
        <v>128</v>
      </c>
      <c r="G10" s="3"/>
    </row>
    <row r="11" spans="1:7">
      <c r="A11" s="13" t="s">
        <v>33</v>
      </c>
      <c r="B11" s="9">
        <f>'Masonry Flexural'!B11</f>
        <v>0.65</v>
      </c>
      <c r="C11" s="10"/>
      <c r="D11" s="11" t="s">
        <v>34</v>
      </c>
      <c r="E11" s="2"/>
      <c r="F11" s="3"/>
      <c r="G11" s="3"/>
    </row>
    <row r="12" spans="1:7">
      <c r="A12" s="17" t="s">
        <v>35</v>
      </c>
      <c r="B12" s="149">
        <f>57000*SQRT(fcbrick)</f>
        <v>5177282.1055067107</v>
      </c>
      <c r="C12" s="10" t="s">
        <v>32</v>
      </c>
      <c r="D12" s="11" t="s">
        <v>36</v>
      </c>
      <c r="E12" s="2"/>
      <c r="F12" s="3"/>
      <c r="G12" s="3"/>
    </row>
    <row r="13" spans="1:7" ht="15.75" thickBot="1">
      <c r="A13" s="28" t="s">
        <v>37</v>
      </c>
      <c r="B13" s="9">
        <f>'Masonry Flexural'!B13</f>
        <v>29000000</v>
      </c>
      <c r="C13" s="21" t="s">
        <v>32</v>
      </c>
      <c r="D13" s="22" t="s">
        <v>2</v>
      </c>
      <c r="E13" s="2"/>
      <c r="F13" s="3"/>
      <c r="G13" s="3"/>
    </row>
    <row r="14" spans="1:7" ht="19.5" thickBot="1">
      <c r="A14" s="23" t="s">
        <v>126</v>
      </c>
      <c r="B14" s="24"/>
      <c r="C14" s="24"/>
      <c r="D14" s="25"/>
      <c r="E14" s="2"/>
      <c r="F14" s="3"/>
      <c r="G14" s="3"/>
    </row>
    <row r="15" spans="1:7">
      <c r="A15" s="135" t="s">
        <v>38</v>
      </c>
      <c r="B15" s="5">
        <f>'Masonry Flexural'!B15</f>
        <v>3</v>
      </c>
      <c r="C15" s="6"/>
      <c r="D15" s="7" t="s">
        <v>2</v>
      </c>
      <c r="E15" s="2"/>
      <c r="F15" s="3"/>
      <c r="G15" s="3"/>
    </row>
    <row r="16" spans="1:7">
      <c r="A16" s="13" t="s">
        <v>39</v>
      </c>
      <c r="B16" s="177">
        <f>'Masonry Flexural'!B16</f>
        <v>0</v>
      </c>
      <c r="C16" s="10"/>
      <c r="D16" s="11" t="s">
        <v>2</v>
      </c>
      <c r="E16" s="2"/>
      <c r="F16" s="3"/>
      <c r="G16" s="3"/>
    </row>
    <row r="17" spans="1:7">
      <c r="A17" s="8" t="s">
        <v>40</v>
      </c>
      <c r="B17" s="14">
        <v>2.56</v>
      </c>
      <c r="C17" s="10" t="s">
        <v>1</v>
      </c>
      <c r="D17" s="11" t="s">
        <v>157</v>
      </c>
      <c r="E17" s="2"/>
      <c r="F17" s="3"/>
      <c r="G17" s="3"/>
    </row>
    <row r="18" spans="1:7" ht="17.25">
      <c r="A18" s="13" t="s">
        <v>41</v>
      </c>
      <c r="B18" s="14">
        <f>VLOOKUP(B15,'Lookup Tables'!A1:C12,3,TRUE)</f>
        <v>0.11</v>
      </c>
      <c r="C18" s="10" t="s">
        <v>42</v>
      </c>
      <c r="D18" s="11" t="s">
        <v>34</v>
      </c>
      <c r="E18" s="2"/>
      <c r="F18" s="3"/>
      <c r="G18" s="3"/>
    </row>
    <row r="19" spans="1:7">
      <c r="A19" s="13" t="s">
        <v>93</v>
      </c>
      <c r="B19" s="54">
        <f>VLOOKUP(B15,'Lookup Tables'!A2:C13,2,TRUE)</f>
        <v>0.375</v>
      </c>
      <c r="C19" s="10" t="s">
        <v>1</v>
      </c>
      <c r="D19" s="11" t="s">
        <v>34</v>
      </c>
      <c r="E19" s="2"/>
      <c r="F19" s="3"/>
      <c r="G19" s="3"/>
    </row>
    <row r="20" spans="1:7">
      <c r="A20" s="13" t="s">
        <v>43</v>
      </c>
      <c r="B20" s="54">
        <f>MAX(1,B19)</f>
        <v>1</v>
      </c>
      <c r="C20" s="15" t="s">
        <v>1</v>
      </c>
      <c r="D20" s="11" t="s">
        <v>44</v>
      </c>
      <c r="E20" s="2"/>
      <c r="F20" s="3"/>
      <c r="G20" s="3"/>
    </row>
    <row r="21" spans="1:7">
      <c r="A21" s="13" t="s">
        <v>47</v>
      </c>
      <c r="B21" s="12">
        <f>'Masonry Flexural'!B21</f>
        <v>1</v>
      </c>
      <c r="C21" s="10"/>
      <c r="D21" s="11" t="s">
        <v>2</v>
      </c>
      <c r="E21" s="2"/>
      <c r="F21" s="3"/>
      <c r="G21" s="3"/>
    </row>
    <row r="22" spans="1:7">
      <c r="A22" s="13" t="s">
        <v>51</v>
      </c>
      <c r="B22" s="9">
        <f>'Masonry Flexural'!fy</f>
        <v>40</v>
      </c>
      <c r="C22" s="10" t="s">
        <v>52</v>
      </c>
      <c r="D22" s="11" t="s">
        <v>2</v>
      </c>
      <c r="E22" s="2"/>
      <c r="F22" s="3"/>
      <c r="G22" s="3"/>
    </row>
    <row r="23" spans="1:7">
      <c r="A23" s="13" t="s">
        <v>53</v>
      </c>
      <c r="B23" s="14">
        <f>B18*B21</f>
        <v>0.11</v>
      </c>
      <c r="C23" s="10"/>
      <c r="D23" s="11" t="s">
        <v>54</v>
      </c>
      <c r="E23" s="2"/>
      <c r="F23" s="3"/>
      <c r="G23" s="3"/>
    </row>
    <row r="24" spans="1:7" ht="30">
      <c r="A24" s="13" t="s">
        <v>55</v>
      </c>
      <c r="B24" s="14">
        <f>B5-B17-B16/8-B19/2</f>
        <v>3.1525000000000003</v>
      </c>
      <c r="C24" s="10" t="s">
        <v>1</v>
      </c>
      <c r="D24" s="16" t="s">
        <v>56</v>
      </c>
      <c r="E24" s="2"/>
      <c r="F24" s="3"/>
      <c r="G24" s="3"/>
    </row>
    <row r="25" spans="1:7">
      <c r="A25" s="13" t="s">
        <v>57</v>
      </c>
      <c r="B25" s="9">
        <v>3.0000000000000001E-3</v>
      </c>
      <c r="C25" s="10"/>
      <c r="D25" s="11"/>
      <c r="E25" s="2"/>
      <c r="F25" s="3"/>
      <c r="G25" s="3"/>
    </row>
    <row r="26" spans="1:7" ht="15.75" thickBot="1">
      <c r="A26" s="28" t="s">
        <v>58</v>
      </c>
      <c r="B26" s="29">
        <f>fy/(B13/1000)</f>
        <v>1.3793103448275861E-3</v>
      </c>
      <c r="C26" s="21"/>
      <c r="D26" s="22" t="s">
        <v>59</v>
      </c>
      <c r="E26" s="2"/>
      <c r="F26" s="3"/>
      <c r="G26" s="3"/>
    </row>
    <row r="27" spans="1:7" ht="19.5" thickBot="1">
      <c r="A27" s="165" t="s">
        <v>86</v>
      </c>
      <c r="B27" s="166"/>
      <c r="C27" s="166"/>
      <c r="D27" s="167"/>
      <c r="E27" s="2"/>
      <c r="F27" s="3"/>
      <c r="G27" s="3"/>
    </row>
    <row r="28" spans="1:7">
      <c r="A28" s="30" t="s">
        <v>60</v>
      </c>
      <c r="B28" s="5">
        <f>As*fy</f>
        <v>4.4000000000000004</v>
      </c>
      <c r="C28" s="6" t="s">
        <v>61</v>
      </c>
      <c r="D28" s="7" t="s">
        <v>62</v>
      </c>
      <c r="E28" s="2"/>
      <c r="F28" s="3"/>
      <c r="G28" s="3"/>
    </row>
    <row r="29" spans="1:7">
      <c r="A29" s="31" t="s">
        <v>63</v>
      </c>
      <c r="B29" s="9">
        <f>B28</f>
        <v>4.4000000000000004</v>
      </c>
      <c r="C29" s="10" t="s">
        <v>61</v>
      </c>
      <c r="D29" s="11" t="s">
        <v>64</v>
      </c>
      <c r="E29" s="2"/>
      <c r="F29" s="3"/>
      <c r="G29" s="3"/>
    </row>
    <row r="30" spans="1:7">
      <c r="A30" s="17" t="s">
        <v>65</v>
      </c>
      <c r="B30" s="14">
        <f>B29*1000/((0.85*fcbrick)*b)</f>
        <v>5.6937475534678483E-2</v>
      </c>
      <c r="C30" s="10" t="s">
        <v>1</v>
      </c>
      <c r="D30" s="11" t="s">
        <v>66</v>
      </c>
      <c r="E30" s="2"/>
      <c r="F30" s="3"/>
      <c r="G30" s="3"/>
    </row>
    <row r="31" spans="1:7">
      <c r="A31" s="17" t="s">
        <v>67</v>
      </c>
      <c r="B31" s="32" t="str">
        <f>IF(a&lt;B5,"True","False")</f>
        <v>True</v>
      </c>
      <c r="C31" s="10"/>
      <c r="D31" s="11"/>
      <c r="E31" s="2"/>
      <c r="F31" s="3"/>
      <c r="G31" s="3"/>
    </row>
    <row r="32" spans="1:7">
      <c r="A32" s="17" t="s">
        <v>68</v>
      </c>
      <c r="B32" s="14">
        <f>d-a/2</f>
        <v>3.1240312622326609</v>
      </c>
      <c r="C32" s="10" t="s">
        <v>1</v>
      </c>
      <c r="D32" s="11" t="s">
        <v>69</v>
      </c>
      <c r="E32" s="2"/>
      <c r="F32" s="3"/>
      <c r="G32" s="3"/>
    </row>
    <row r="33" spans="1:7">
      <c r="A33" s="140" t="s">
        <v>70</v>
      </c>
      <c r="B33" s="160">
        <f>B28*B32/12</f>
        <v>1.1454781294853091</v>
      </c>
      <c r="C33" s="138" t="s">
        <v>71</v>
      </c>
      <c r="D33" s="142" t="s">
        <v>72</v>
      </c>
      <c r="E33" s="2"/>
      <c r="F33" s="3"/>
      <c r="G33" s="3"/>
    </row>
    <row r="34" spans="1:7" ht="30">
      <c r="A34" s="35" t="s">
        <v>73</v>
      </c>
      <c r="B34" s="36">
        <f>a/beta1</f>
        <v>8.7596116207197663E-2</v>
      </c>
      <c r="C34" s="10" t="s">
        <v>1</v>
      </c>
      <c r="D34" s="11" t="s">
        <v>74</v>
      </c>
      <c r="E34" s="2"/>
      <c r="F34" s="3"/>
      <c r="G34" s="3"/>
    </row>
    <row r="35" spans="1:7">
      <c r="A35" s="13" t="s">
        <v>75</v>
      </c>
      <c r="B35" s="37">
        <f>ey/B34*(d-B34)</f>
        <v>4.8260742780172415E-2</v>
      </c>
      <c r="C35" s="10"/>
      <c r="D35" s="11" t="s">
        <v>76</v>
      </c>
      <c r="E35" s="2"/>
      <c r="F35" s="3"/>
      <c r="G35" s="3"/>
    </row>
    <row r="36" spans="1:7">
      <c r="A36" s="13" t="s">
        <v>77</v>
      </c>
      <c r="B36" s="38" t="str">
        <f>IF(B35&gt;0.005,"True",IF(B35=0.005,"True","False"))</f>
        <v>True</v>
      </c>
      <c r="C36" s="10"/>
      <c r="D36" s="11" t="s">
        <v>78</v>
      </c>
      <c r="E36" s="2"/>
      <c r="F36" s="3"/>
      <c r="G36" s="3"/>
    </row>
    <row r="37" spans="1:7">
      <c r="A37" s="8" t="s">
        <v>79</v>
      </c>
      <c r="B37" s="33">
        <v>0.9</v>
      </c>
      <c r="C37" s="10"/>
      <c r="D37" s="34" t="s">
        <v>80</v>
      </c>
    </row>
    <row r="38" spans="1:7">
      <c r="A38" s="158" t="s">
        <v>89</v>
      </c>
      <c r="B38" s="137">
        <v>0.93700000000000006</v>
      </c>
      <c r="C38" s="138" t="s">
        <v>129</v>
      </c>
      <c r="D38" s="142" t="s">
        <v>149</v>
      </c>
      <c r="F38" t="s">
        <v>158</v>
      </c>
    </row>
    <row r="39" spans="1:7">
      <c r="A39" s="136" t="s">
        <v>89</v>
      </c>
      <c r="B39" s="137">
        <f>B38*0.22481*3.28</f>
        <v>0.69092206160000003</v>
      </c>
      <c r="C39" s="138" t="s">
        <v>71</v>
      </c>
      <c r="D39" s="139"/>
    </row>
    <row r="40" spans="1:7">
      <c r="A40" s="140" t="s">
        <v>81</v>
      </c>
      <c r="B40" s="160">
        <f>B37*B33</f>
        <v>1.0309303165367782</v>
      </c>
      <c r="C40" s="138" t="s">
        <v>71</v>
      </c>
      <c r="D40" s="142" t="s">
        <v>81</v>
      </c>
    </row>
    <row r="41" spans="1:7">
      <c r="A41" s="140" t="s">
        <v>82</v>
      </c>
      <c r="B41" s="143" t="str">
        <f>IF(B40&gt;B39,"True","False")</f>
        <v>True</v>
      </c>
      <c r="C41" s="138"/>
      <c r="D41" s="142"/>
    </row>
    <row r="42" spans="1:7">
      <c r="A42" s="181" t="s">
        <v>159</v>
      </c>
      <c r="B42" s="184">
        <f>B33/0.22481/3.28</f>
        <v>1.5534501892184691</v>
      </c>
      <c r="C42" s="182" t="s">
        <v>129</v>
      </c>
      <c r="D42" s="183"/>
    </row>
    <row r="43" spans="1:7">
      <c r="A43" s="181" t="s">
        <v>160</v>
      </c>
      <c r="B43" s="184">
        <f>B40/0.22481/3.28</f>
        <v>1.3981051702966221</v>
      </c>
      <c r="C43" s="182" t="s">
        <v>129</v>
      </c>
      <c r="D43" s="183"/>
    </row>
    <row r="44" spans="1:7" ht="30">
      <c r="A44" s="40" t="s">
        <v>83</v>
      </c>
      <c r="B44" s="41">
        <f>IF(fcbrick&lt;4440,(200/(fy*1000))*b*d,3*SQRT(fcbrick)/(fy*1000)*b*d)</f>
        <v>0.23666003664534357</v>
      </c>
      <c r="C44" s="42" t="s">
        <v>84</v>
      </c>
      <c r="D44" s="43" t="s">
        <v>131</v>
      </c>
    </row>
    <row r="45" spans="1:7" ht="15.75" thickBot="1">
      <c r="A45" s="44" t="s">
        <v>85</v>
      </c>
      <c r="B45" s="45" t="str">
        <f>IF(As&gt;B44,"True","False")</f>
        <v>False</v>
      </c>
      <c r="C45" s="48"/>
      <c r="D45" s="47"/>
    </row>
    <row r="46" spans="1:7" ht="15.75" thickTop="1"/>
  </sheetData>
  <mergeCells count="2">
    <mergeCell ref="A4:D4"/>
    <mergeCell ref="A27:D27"/>
  </mergeCells>
  <pageMargins left="0.7" right="0.7" top="0.75" bottom="0.75" header="0.3" footer="0.3"/>
  <pageSetup orientation="portrait" horizontalDpi="4294967294" r:id="rId1"/>
  <rowBreaks count="1" manualBreakCount="1">
    <brk id="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G49"/>
  <sheetViews>
    <sheetView topLeftCell="A19" zoomScaleNormal="100" zoomScaleSheetLayoutView="100" workbookViewId="0">
      <selection activeCell="B46" sqref="B46"/>
    </sheetView>
  </sheetViews>
  <sheetFormatPr defaultRowHeight="15"/>
  <cols>
    <col min="1" max="1" width="33.7109375" customWidth="1"/>
    <col min="2" max="2" width="12" bestFit="1" customWidth="1"/>
    <col min="3" max="3" width="8.140625" bestFit="1" customWidth="1"/>
    <col min="4" max="4" width="36" customWidth="1"/>
  </cols>
  <sheetData>
    <row r="1" spans="1:7" ht="31.5">
      <c r="A1" s="1" t="s">
        <v>136</v>
      </c>
    </row>
    <row r="3" spans="1:7" ht="15.75" thickBot="1"/>
    <row r="4" spans="1:7" ht="19.5" thickTop="1">
      <c r="A4" s="162" t="s">
        <v>87</v>
      </c>
      <c r="B4" s="163"/>
      <c r="C4" s="163"/>
      <c r="D4" s="164"/>
      <c r="E4" s="2"/>
      <c r="F4" s="3"/>
      <c r="G4" s="3"/>
    </row>
    <row r="5" spans="1:7" ht="30">
      <c r="A5" s="8" t="s">
        <v>9</v>
      </c>
      <c r="B5" s="9">
        <v>5.9</v>
      </c>
      <c r="C5" s="10" t="s">
        <v>1</v>
      </c>
      <c r="D5" s="16" t="s">
        <v>123</v>
      </c>
      <c r="E5" s="2"/>
      <c r="F5" s="3"/>
      <c r="G5" s="3"/>
    </row>
    <row r="6" spans="1:7">
      <c r="A6" s="8" t="s">
        <v>10</v>
      </c>
      <c r="B6" s="9">
        <v>5.9</v>
      </c>
      <c r="C6" s="10" t="s">
        <v>1</v>
      </c>
      <c r="D6" s="11" t="s">
        <v>122</v>
      </c>
      <c r="E6" s="2"/>
      <c r="F6" s="3"/>
      <c r="G6" s="3"/>
    </row>
    <row r="7" spans="1:7">
      <c r="A7" s="13" t="s">
        <v>26</v>
      </c>
      <c r="B7" s="9">
        <f>b*B5</f>
        <v>34.81</v>
      </c>
      <c r="C7" s="10" t="s">
        <v>23</v>
      </c>
      <c r="D7" s="11" t="s">
        <v>137</v>
      </c>
      <c r="E7" s="2"/>
      <c r="F7" s="3"/>
      <c r="G7" s="3"/>
    </row>
    <row r="8" spans="1:7">
      <c r="A8" s="13" t="s">
        <v>27</v>
      </c>
      <c r="B8" s="14">
        <f>B5/2</f>
        <v>2.95</v>
      </c>
      <c r="C8" s="10" t="s">
        <v>1</v>
      </c>
      <c r="D8" s="11" t="s">
        <v>25</v>
      </c>
      <c r="E8" s="2"/>
      <c r="F8" s="3"/>
      <c r="G8" s="3"/>
    </row>
    <row r="9" spans="1:7">
      <c r="A9" s="13" t="s">
        <v>30</v>
      </c>
      <c r="B9" s="14">
        <f>(b)*(B5^3)*(1/12)</f>
        <v>100.97800833333334</v>
      </c>
      <c r="C9" s="10" t="s">
        <v>28</v>
      </c>
      <c r="D9" s="11" t="s">
        <v>138</v>
      </c>
      <c r="E9" s="2"/>
      <c r="F9" s="3"/>
      <c r="G9" s="3"/>
    </row>
    <row r="10" spans="1:7">
      <c r="A10" s="8" t="s">
        <v>31</v>
      </c>
      <c r="B10" s="9">
        <v>3000</v>
      </c>
      <c r="C10" s="10" t="s">
        <v>32</v>
      </c>
      <c r="D10" s="11" t="s">
        <v>127</v>
      </c>
      <c r="E10" s="2"/>
      <c r="F10" s="3"/>
      <c r="G10" s="3"/>
    </row>
    <row r="11" spans="1:7">
      <c r="A11" s="13" t="s">
        <v>33</v>
      </c>
      <c r="B11" s="9">
        <f>IF(fc&lt;4500,0.85, IF(fc&lt;5000,0.825,IF(fc&lt;5500,0.8,IF(fc&lt;6000,0.775,IF(fc&lt;6500,0.75,IF(fc&lt;7000,0.725, IF(fc&lt;7500,0.7, IF(fc&lt;8000,0.675,0.65))))))))</f>
        <v>0.85</v>
      </c>
      <c r="C11" s="10"/>
      <c r="D11" s="11" t="s">
        <v>34</v>
      </c>
      <c r="E11" s="2"/>
      <c r="F11" s="3"/>
      <c r="G11" s="3"/>
    </row>
    <row r="12" spans="1:7">
      <c r="A12" s="17" t="s">
        <v>35</v>
      </c>
      <c r="B12" s="18">
        <f>57000*SQRT(fc)</f>
        <v>3122018.5777794472</v>
      </c>
      <c r="C12" s="10" t="s">
        <v>32</v>
      </c>
      <c r="D12" s="11" t="s">
        <v>36</v>
      </c>
      <c r="E12" s="2"/>
      <c r="F12" s="3"/>
      <c r="G12" s="3"/>
    </row>
    <row r="13" spans="1:7" ht="15.75" thickBot="1">
      <c r="A13" s="19" t="s">
        <v>37</v>
      </c>
      <c r="B13" s="20">
        <v>29000000</v>
      </c>
      <c r="C13" s="21" t="s">
        <v>32</v>
      </c>
      <c r="D13" s="22" t="s">
        <v>2</v>
      </c>
      <c r="E13" s="2"/>
      <c r="F13" s="3"/>
      <c r="G13" s="3"/>
    </row>
    <row r="14" spans="1:7" ht="19.5" thickBot="1">
      <c r="A14" s="23" t="s">
        <v>126</v>
      </c>
      <c r="B14" s="24"/>
      <c r="C14" s="24"/>
      <c r="D14" s="25"/>
      <c r="E14" s="2"/>
      <c r="F14" s="3"/>
      <c r="G14" s="3"/>
    </row>
    <row r="15" spans="1:7">
      <c r="A15" s="4" t="s">
        <v>38</v>
      </c>
      <c r="B15" s="5">
        <v>3</v>
      </c>
      <c r="C15" s="6"/>
      <c r="D15" s="7" t="s">
        <v>2</v>
      </c>
      <c r="E15" s="2"/>
      <c r="F15" s="3"/>
      <c r="G15" s="3"/>
    </row>
    <row r="16" spans="1:7">
      <c r="A16" s="8" t="s">
        <v>39</v>
      </c>
      <c r="B16" s="12">
        <v>2</v>
      </c>
      <c r="C16" s="10"/>
      <c r="D16" s="11" t="s">
        <v>2</v>
      </c>
      <c r="E16" s="2"/>
      <c r="F16" s="3"/>
      <c r="G16" s="3"/>
    </row>
    <row r="17" spans="1:7">
      <c r="A17" s="8" t="s">
        <v>40</v>
      </c>
      <c r="B17" s="14">
        <v>0.98</v>
      </c>
      <c r="C17" s="10" t="s">
        <v>1</v>
      </c>
      <c r="D17" s="11" t="s">
        <v>139</v>
      </c>
      <c r="E17" s="2"/>
      <c r="F17" s="3"/>
      <c r="G17" s="3"/>
    </row>
    <row r="18" spans="1:7" ht="17.25">
      <c r="A18" s="13" t="s">
        <v>41</v>
      </c>
      <c r="B18" s="14">
        <f>VLOOKUP(B15,'Lookup Tables'!A1:C12,3,TRUE)</f>
        <v>0.11</v>
      </c>
      <c r="C18" s="10" t="s">
        <v>42</v>
      </c>
      <c r="D18" s="11" t="s">
        <v>34</v>
      </c>
      <c r="E18" s="2"/>
      <c r="F18" s="3"/>
      <c r="G18" s="3"/>
    </row>
    <row r="19" spans="1:7">
      <c r="A19" s="13" t="s">
        <v>93</v>
      </c>
      <c r="B19" s="54">
        <f>VLOOKUP(B15,'Lookup Tables'!A2:C13,2,TRUE)</f>
        <v>0.375</v>
      </c>
      <c r="C19" s="10" t="s">
        <v>1</v>
      </c>
      <c r="D19" s="11" t="s">
        <v>34</v>
      </c>
      <c r="E19" s="2"/>
      <c r="F19" s="3"/>
      <c r="G19" s="3"/>
    </row>
    <row r="20" spans="1:7">
      <c r="A20" s="13" t="s">
        <v>43</v>
      </c>
      <c r="B20" s="54">
        <f>MAX(1,B19)</f>
        <v>1</v>
      </c>
      <c r="C20" s="15" t="s">
        <v>1</v>
      </c>
      <c r="D20" s="11" t="s">
        <v>44</v>
      </c>
      <c r="E20" s="2"/>
      <c r="F20" s="3"/>
      <c r="G20" s="3"/>
    </row>
    <row r="21" spans="1:7" ht="30">
      <c r="A21" s="26" t="s">
        <v>45</v>
      </c>
      <c r="B21" s="9">
        <f>b-2*B17-B16*(2/8)</f>
        <v>3.4400000000000004</v>
      </c>
      <c r="C21" s="15" t="s">
        <v>1</v>
      </c>
      <c r="D21" s="11" t="s">
        <v>46</v>
      </c>
      <c r="E21" s="2"/>
      <c r="F21" s="3"/>
      <c r="G21" s="3"/>
    </row>
    <row r="22" spans="1:7">
      <c r="A22" s="8" t="s">
        <v>47</v>
      </c>
      <c r="B22" s="12">
        <v>2</v>
      </c>
      <c r="C22" s="10"/>
      <c r="D22" s="11" t="s">
        <v>2</v>
      </c>
      <c r="E22" s="2"/>
      <c r="F22" s="3"/>
      <c r="G22" s="3"/>
    </row>
    <row r="23" spans="1:7" ht="31.5" customHeight="1">
      <c r="A23" s="13" t="s">
        <v>48</v>
      </c>
      <c r="B23" s="12">
        <f>B22*B19+(B22-1)*B20</f>
        <v>1.75</v>
      </c>
      <c r="C23" s="15" t="s">
        <v>1</v>
      </c>
      <c r="D23" s="16" t="s">
        <v>49</v>
      </c>
      <c r="E23" s="2"/>
      <c r="F23" s="3"/>
      <c r="G23" s="3"/>
    </row>
    <row r="24" spans="1:7">
      <c r="A24" s="13" t="s">
        <v>50</v>
      </c>
      <c r="B24" s="27" t="str">
        <f>IF(B23&lt;B21,"True","False")</f>
        <v>True</v>
      </c>
      <c r="C24" s="15"/>
      <c r="D24" s="11"/>
      <c r="E24" s="2"/>
      <c r="F24" s="3"/>
      <c r="G24" s="3"/>
    </row>
    <row r="25" spans="1:7">
      <c r="A25" s="8" t="s">
        <v>51</v>
      </c>
      <c r="B25" s="9">
        <v>40</v>
      </c>
      <c r="C25" s="10" t="s">
        <v>52</v>
      </c>
      <c r="D25" s="11" t="s">
        <v>2</v>
      </c>
      <c r="E25" s="2"/>
      <c r="F25" s="3"/>
      <c r="G25" s="3"/>
    </row>
    <row r="26" spans="1:7">
      <c r="A26" s="13" t="s">
        <v>53</v>
      </c>
      <c r="B26" s="14">
        <f>B18*B22</f>
        <v>0.22</v>
      </c>
      <c r="C26" s="10"/>
      <c r="D26" s="11" t="s">
        <v>54</v>
      </c>
      <c r="E26" s="2"/>
      <c r="F26" s="3"/>
      <c r="G26" s="3"/>
    </row>
    <row r="27" spans="1:7" ht="30">
      <c r="A27" s="13" t="s">
        <v>55</v>
      </c>
      <c r="B27" s="14">
        <f>B5-B17-B16/8-B19/2</f>
        <v>4.4824999999999999</v>
      </c>
      <c r="C27" s="10" t="s">
        <v>1</v>
      </c>
      <c r="D27" s="16" t="s">
        <v>56</v>
      </c>
      <c r="E27" s="2"/>
      <c r="F27" s="3"/>
      <c r="G27" s="3"/>
    </row>
    <row r="28" spans="1:7">
      <c r="A28" s="13" t="s">
        <v>57</v>
      </c>
      <c r="B28" s="9">
        <v>3.0000000000000001E-3</v>
      </c>
      <c r="C28" s="10"/>
      <c r="D28" s="11"/>
      <c r="E28" s="2"/>
      <c r="F28" s="3"/>
      <c r="G28" s="3"/>
    </row>
    <row r="29" spans="1:7" ht="15.75" thickBot="1">
      <c r="A29" s="28" t="s">
        <v>58</v>
      </c>
      <c r="B29" s="29">
        <f>fy/(B13/1000)</f>
        <v>1.3793103448275861E-3</v>
      </c>
      <c r="C29" s="21"/>
      <c r="D29" s="22" t="s">
        <v>59</v>
      </c>
      <c r="E29" s="2"/>
      <c r="F29" s="3"/>
      <c r="G29" s="3"/>
    </row>
    <row r="30" spans="1:7" ht="19.5" thickBot="1">
      <c r="A30" s="165" t="s">
        <v>86</v>
      </c>
      <c r="B30" s="166"/>
      <c r="C30" s="166"/>
      <c r="D30" s="167"/>
      <c r="E30" s="2"/>
      <c r="F30" s="3"/>
      <c r="G30" s="3"/>
    </row>
    <row r="31" spans="1:7">
      <c r="A31" s="30" t="s">
        <v>60</v>
      </c>
      <c r="B31" s="5">
        <f>As*fy</f>
        <v>8.8000000000000007</v>
      </c>
      <c r="C31" s="6" t="s">
        <v>61</v>
      </c>
      <c r="D31" s="7" t="s">
        <v>62</v>
      </c>
      <c r="E31" s="2"/>
      <c r="F31" s="3"/>
      <c r="G31" s="3"/>
    </row>
    <row r="32" spans="1:7">
      <c r="A32" s="31" t="s">
        <v>63</v>
      </c>
      <c r="B32" s="9">
        <f>B31</f>
        <v>8.8000000000000007</v>
      </c>
      <c r="C32" s="10" t="s">
        <v>61</v>
      </c>
      <c r="D32" s="11" t="s">
        <v>64</v>
      </c>
      <c r="E32" s="2"/>
      <c r="F32" s="3"/>
      <c r="G32" s="3"/>
    </row>
    <row r="33" spans="1:7">
      <c r="A33" s="17" t="s">
        <v>65</v>
      </c>
      <c r="B33" s="14">
        <f>B32*1000/((0.85*fc)*b)</f>
        <v>0.58491193087404458</v>
      </c>
      <c r="C33" s="10" t="s">
        <v>1</v>
      </c>
      <c r="D33" s="11" t="s">
        <v>66</v>
      </c>
      <c r="E33" s="2"/>
      <c r="F33" s="3"/>
      <c r="G33" s="3"/>
    </row>
    <row r="34" spans="1:7">
      <c r="A34" s="17" t="s">
        <v>153</v>
      </c>
      <c r="B34" s="32" t="str">
        <f>IF(a&lt;B5,"True","False")</f>
        <v>True</v>
      </c>
      <c r="C34" s="10"/>
      <c r="D34" s="11"/>
      <c r="E34" s="2"/>
      <c r="F34" s="3"/>
      <c r="G34" s="3"/>
    </row>
    <row r="35" spans="1:7">
      <c r="A35" s="17" t="s">
        <v>68</v>
      </c>
      <c r="B35" s="14">
        <f>d-a/2</f>
        <v>4.1900440345629777</v>
      </c>
      <c r="C35" s="10" t="s">
        <v>1</v>
      </c>
      <c r="D35" s="11" t="s">
        <v>69</v>
      </c>
      <c r="E35" s="2"/>
      <c r="F35" s="3"/>
      <c r="G35" s="3"/>
    </row>
    <row r="36" spans="1:7">
      <c r="A36" s="17" t="s">
        <v>70</v>
      </c>
      <c r="B36" s="144">
        <f>B31*B35/12</f>
        <v>3.072698958679517</v>
      </c>
      <c r="C36" s="10" t="s">
        <v>71</v>
      </c>
      <c r="D36" s="34" t="s">
        <v>72</v>
      </c>
      <c r="E36" s="2"/>
      <c r="F36" s="3"/>
      <c r="G36" s="3"/>
    </row>
    <row r="37" spans="1:7" ht="30">
      <c r="A37" s="35" t="s">
        <v>73</v>
      </c>
      <c r="B37" s="36">
        <f>a/beta1</f>
        <v>0.68813168338122899</v>
      </c>
      <c r="C37" s="10" t="s">
        <v>1</v>
      </c>
      <c r="D37" s="11" t="s">
        <v>74</v>
      </c>
      <c r="E37" s="2"/>
      <c r="F37" s="3"/>
      <c r="G37" s="3"/>
    </row>
    <row r="38" spans="1:7">
      <c r="A38" s="13" t="s">
        <v>75</v>
      </c>
      <c r="B38" s="37">
        <f>ey/B37*(d-B37)</f>
        <v>7.6055377155172382E-3</v>
      </c>
      <c r="C38" s="10"/>
      <c r="D38" s="11" t="s">
        <v>76</v>
      </c>
      <c r="E38" s="2"/>
      <c r="F38" s="3"/>
      <c r="G38" s="3"/>
    </row>
    <row r="39" spans="1:7">
      <c r="A39" s="13" t="s">
        <v>77</v>
      </c>
      <c r="B39" s="38" t="str">
        <f>IF(B38&gt;0.005,"True",IF(B38=0.005,"True","False"))</f>
        <v>True</v>
      </c>
      <c r="C39" s="10"/>
      <c r="D39" s="11" t="s">
        <v>78</v>
      </c>
      <c r="E39" s="2"/>
      <c r="F39" s="3"/>
      <c r="G39" s="3"/>
    </row>
    <row r="40" spans="1:7">
      <c r="A40" s="8" t="s">
        <v>79</v>
      </c>
      <c r="B40" s="33">
        <v>0.9</v>
      </c>
      <c r="C40" s="10"/>
      <c r="D40" s="34" t="s">
        <v>80</v>
      </c>
    </row>
    <row r="41" spans="1:7">
      <c r="A41" s="158" t="s">
        <v>89</v>
      </c>
      <c r="B41" s="159">
        <v>1.29</v>
      </c>
      <c r="C41" s="138" t="s">
        <v>129</v>
      </c>
      <c r="D41" s="142" t="s">
        <v>150</v>
      </c>
    </row>
    <row r="42" spans="1:7">
      <c r="A42" s="136" t="s">
        <v>89</v>
      </c>
      <c r="B42" s="137">
        <f>B41*0.22481*3.28</f>
        <v>0.95121607200000002</v>
      </c>
      <c r="C42" s="138" t="s">
        <v>71</v>
      </c>
      <c r="D42" s="139"/>
    </row>
    <row r="43" spans="1:7">
      <c r="A43" s="140" t="s">
        <v>81</v>
      </c>
      <c r="B43" s="160">
        <f>B40*B36</f>
        <v>2.7654290628115654</v>
      </c>
      <c r="C43" s="138" t="s">
        <v>71</v>
      </c>
      <c r="D43" s="142" t="s">
        <v>81</v>
      </c>
    </row>
    <row r="44" spans="1:7">
      <c r="A44" s="140" t="s">
        <v>82</v>
      </c>
      <c r="B44" s="143" t="str">
        <f>IF(B43&gt;B42,"True","False")</f>
        <v>True</v>
      </c>
      <c r="C44" s="138"/>
      <c r="D44" s="142"/>
    </row>
    <row r="45" spans="1:7">
      <c r="A45" s="181" t="s">
        <v>159</v>
      </c>
      <c r="B45" s="184">
        <f>B36/0.22481/3.28</f>
        <v>4.1670675815668687</v>
      </c>
      <c r="C45" s="182" t="s">
        <v>129</v>
      </c>
      <c r="D45" s="183"/>
    </row>
    <row r="46" spans="1:7">
      <c r="A46" s="181" t="s">
        <v>160</v>
      </c>
      <c r="B46" s="184">
        <f>B43/0.22481/3.28</f>
        <v>3.7503608234101824</v>
      </c>
      <c r="C46" s="182" t="s">
        <v>129</v>
      </c>
      <c r="D46" s="183"/>
    </row>
    <row r="47" spans="1:7" ht="30">
      <c r="A47" s="40" t="s">
        <v>83</v>
      </c>
      <c r="B47" s="41">
        <f>IF(fc&lt;4440,(200/(fy*1000))*b*d,3*SQRT(fc)/(fy*1000)*b*d)</f>
        <v>0.13223375000000001</v>
      </c>
      <c r="C47" s="42" t="s">
        <v>84</v>
      </c>
      <c r="D47" s="43" t="s">
        <v>131</v>
      </c>
    </row>
    <row r="48" spans="1:7" ht="15.75" thickBot="1">
      <c r="A48" s="44" t="s">
        <v>85</v>
      </c>
      <c r="B48" s="45" t="str">
        <f>IF(As&gt;B47,"True","False")</f>
        <v>True</v>
      </c>
      <c r="C48" s="48"/>
      <c r="D48" s="47"/>
    </row>
    <row r="49" ht="15.75" thickTop="1"/>
  </sheetData>
  <mergeCells count="2">
    <mergeCell ref="A4:D4"/>
    <mergeCell ref="A30:D30"/>
  </mergeCells>
  <pageMargins left="0.7" right="0.7" top="0.75" bottom="0.75" header="0.3" footer="0.3"/>
  <pageSetup orientation="portrait" horizontalDpi="4294967294" r:id="rId1"/>
  <rowBreaks count="1" manualBreakCount="1">
    <brk id="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Z143"/>
  <sheetViews>
    <sheetView topLeftCell="A16" workbookViewId="0">
      <selection activeCell="B11" sqref="B11"/>
    </sheetView>
  </sheetViews>
  <sheetFormatPr defaultRowHeight="15"/>
  <cols>
    <col min="1" max="1" width="26.28515625" customWidth="1"/>
    <col min="3" max="3" width="13.85546875" bestFit="1" customWidth="1"/>
    <col min="4" max="4" width="8.85546875" bestFit="1" customWidth="1"/>
    <col min="5" max="5" width="15.7109375" bestFit="1" customWidth="1"/>
    <col min="23" max="23" width="17.42578125" customWidth="1"/>
    <col min="24" max="24" width="18.85546875" customWidth="1"/>
  </cols>
  <sheetData>
    <row r="1" spans="1:26" ht="31.5">
      <c r="A1" s="1" t="s">
        <v>132</v>
      </c>
    </row>
    <row r="3" spans="1:26" ht="15.75" thickBot="1"/>
    <row r="4" spans="1:26" ht="15.75" thickTop="1">
      <c r="A4" s="130" t="s">
        <v>146</v>
      </c>
      <c r="B4" s="150" t="e">
        <f>'Concrete Flexural'!#REF!/12</f>
        <v>#REF!</v>
      </c>
      <c r="C4" s="56" t="s">
        <v>12</v>
      </c>
      <c r="D4" s="57" t="s">
        <v>125</v>
      </c>
      <c r="E4" s="58"/>
      <c r="F4" s="58"/>
      <c r="G4" s="58"/>
      <c r="H4" s="59"/>
      <c r="W4" t="s">
        <v>94</v>
      </c>
      <c r="X4" t="s">
        <v>95</v>
      </c>
      <c r="Y4" t="s">
        <v>96</v>
      </c>
      <c r="Z4" t="s">
        <v>55</v>
      </c>
    </row>
    <row r="5" spans="1:26">
      <c r="A5" s="60" t="s">
        <v>140</v>
      </c>
      <c r="B5" s="151">
        <v>29.542000000000002</v>
      </c>
      <c r="C5" s="146" t="s">
        <v>142</v>
      </c>
      <c r="D5" s="61" t="s">
        <v>130</v>
      </c>
      <c r="E5" s="147"/>
      <c r="F5" s="147"/>
      <c r="G5" s="147"/>
      <c r="H5" s="148"/>
    </row>
    <row r="6" spans="1:26">
      <c r="A6" s="60" t="s">
        <v>141</v>
      </c>
      <c r="B6" s="145">
        <v>0</v>
      </c>
      <c r="C6" s="146" t="s">
        <v>142</v>
      </c>
      <c r="D6" s="61" t="s">
        <v>130</v>
      </c>
      <c r="E6" s="147"/>
      <c r="F6" s="147"/>
      <c r="G6" s="147"/>
      <c r="H6" s="148"/>
    </row>
    <row r="7" spans="1:26">
      <c r="A7" s="133" t="s">
        <v>140</v>
      </c>
      <c r="B7" s="52">
        <f>B5*0.22481</f>
        <v>6.6413370200000008</v>
      </c>
      <c r="C7" s="50" t="s">
        <v>97</v>
      </c>
      <c r="D7" s="61"/>
      <c r="E7" s="62"/>
      <c r="F7" s="62"/>
      <c r="G7" s="62"/>
      <c r="H7" s="63"/>
      <c r="V7">
        <v>0</v>
      </c>
      <c r="W7">
        <f>$B$36</f>
        <v>1.9205098129947689</v>
      </c>
      <c r="X7">
        <f>$B$37</f>
        <v>2.3874352476042424</v>
      </c>
      <c r="Y7">
        <f>$B$26/2</f>
        <v>2.24125</v>
      </c>
      <c r="Z7" s="64">
        <f>$B$26/12</f>
        <v>0.37354166666666666</v>
      </c>
    </row>
    <row r="8" spans="1:26">
      <c r="A8" s="133" t="s">
        <v>141</v>
      </c>
      <c r="B8" s="49">
        <f>B6*0.22481</f>
        <v>0</v>
      </c>
      <c r="C8" s="50" t="s">
        <v>97</v>
      </c>
      <c r="D8" s="61"/>
      <c r="E8" s="62"/>
      <c r="F8" s="62"/>
      <c r="G8" s="62"/>
      <c r="H8" s="63"/>
      <c r="V8">
        <v>1</v>
      </c>
      <c r="W8">
        <f>$B$36</f>
        <v>1.9205098129947689</v>
      </c>
      <c r="X8">
        <f>$B$37</f>
        <v>2.3874352476042424</v>
      </c>
      <c r="Y8">
        <f>$B$26/2</f>
        <v>2.24125</v>
      </c>
      <c r="Z8" s="64">
        <f>$B$26/12</f>
        <v>0.37354166666666666</v>
      </c>
    </row>
    <row r="9" spans="1:26">
      <c r="A9" s="65" t="s">
        <v>98</v>
      </c>
      <c r="B9" s="52">
        <f>MAX(ABS(B7),ABS(B8))</f>
        <v>6.6413370200000008</v>
      </c>
      <c r="C9" s="50" t="s">
        <v>97</v>
      </c>
      <c r="D9" s="66" t="s">
        <v>143</v>
      </c>
      <c r="E9" s="67"/>
      <c r="F9" s="67"/>
      <c r="G9" s="67"/>
      <c r="H9" s="68"/>
      <c r="V9">
        <v>2</v>
      </c>
      <c r="W9">
        <f>$B$36</f>
        <v>1.9205098129947689</v>
      </c>
      <c r="X9">
        <f>$B$37</f>
        <v>2.3874352476042424</v>
      </c>
      <c r="Y9">
        <f>$B$26/2</f>
        <v>2.24125</v>
      </c>
      <c r="Z9" s="64">
        <f>$B$26/12</f>
        <v>0.37354166666666666</v>
      </c>
    </row>
    <row r="10" spans="1:26">
      <c r="A10" s="161" t="s">
        <v>145</v>
      </c>
      <c r="B10" s="52">
        <v>33.957000000000001</v>
      </c>
      <c r="C10" s="50" t="s">
        <v>151</v>
      </c>
      <c r="D10" s="66"/>
      <c r="E10" s="67"/>
      <c r="F10" s="67"/>
      <c r="G10" s="67"/>
      <c r="H10" s="68"/>
      <c r="Z10" s="64"/>
    </row>
    <row r="11" spans="1:26">
      <c r="A11" s="133" t="s">
        <v>145</v>
      </c>
      <c r="B11" s="52">
        <f>B10*0.06852</f>
        <v>2.32673364</v>
      </c>
      <c r="C11" s="50" t="s">
        <v>99</v>
      </c>
      <c r="D11" s="168" t="s">
        <v>100</v>
      </c>
      <c r="E11" s="169"/>
      <c r="F11" s="169"/>
      <c r="G11" s="169"/>
      <c r="H11" s="170"/>
      <c r="V11">
        <v>3</v>
      </c>
      <c r="W11">
        <f t="shared" ref="W11:W39" si="0">$B$36</f>
        <v>1.9205098129947689</v>
      </c>
      <c r="X11">
        <f t="shared" ref="X11:X39" si="1">$B$37</f>
        <v>2.3874352476042424</v>
      </c>
      <c r="Y11">
        <f t="shared" ref="Y11:Y39" si="2">$B$26/2</f>
        <v>2.24125</v>
      </c>
      <c r="Z11" s="64">
        <f t="shared" ref="Z11:Z39" si="3">$B$26/12</f>
        <v>0.37354166666666666</v>
      </c>
    </row>
    <row r="12" spans="1:26" ht="15.75" thickBot="1">
      <c r="A12" s="70" t="s">
        <v>101</v>
      </c>
      <c r="B12" s="71">
        <v>100</v>
      </c>
      <c r="C12" s="48"/>
      <c r="D12" s="171"/>
      <c r="E12" s="172"/>
      <c r="F12" s="172"/>
      <c r="G12" s="172"/>
      <c r="H12" s="173"/>
      <c r="V12">
        <v>4</v>
      </c>
      <c r="W12">
        <f t="shared" si="0"/>
        <v>1.9205098129947689</v>
      </c>
      <c r="X12">
        <f t="shared" si="1"/>
        <v>2.3874352476042424</v>
      </c>
      <c r="Y12">
        <f t="shared" si="2"/>
        <v>2.24125</v>
      </c>
      <c r="Z12" s="64">
        <f t="shared" si="3"/>
        <v>0.37354166666666666</v>
      </c>
    </row>
    <row r="13" spans="1:26" ht="16.5" thickTop="1" thickBot="1">
      <c r="A13" s="72"/>
      <c r="V13">
        <v>5</v>
      </c>
      <c r="W13">
        <f t="shared" si="0"/>
        <v>1.9205098129947689</v>
      </c>
      <c r="X13">
        <f t="shared" si="1"/>
        <v>2.3874352476042424</v>
      </c>
      <c r="Y13">
        <f t="shared" si="2"/>
        <v>2.24125</v>
      </c>
      <c r="Z13" s="64">
        <f t="shared" si="3"/>
        <v>0.37354166666666666</v>
      </c>
    </row>
    <row r="14" spans="1:26" ht="15.75" thickTop="1">
      <c r="A14" s="132" t="s">
        <v>31</v>
      </c>
      <c r="B14" s="55">
        <f>'Concrete Flexural'!fc</f>
        <v>3000</v>
      </c>
      <c r="C14" s="56" t="s">
        <v>32</v>
      </c>
      <c r="D14" s="73" t="s">
        <v>2</v>
      </c>
      <c r="E14" s="58"/>
      <c r="F14" s="58"/>
      <c r="G14" s="58"/>
      <c r="H14" s="59"/>
      <c r="V14">
        <v>6</v>
      </c>
      <c r="W14">
        <f t="shared" si="0"/>
        <v>1.9205098129947689</v>
      </c>
      <c r="X14">
        <f t="shared" si="1"/>
        <v>2.3874352476042424</v>
      </c>
      <c r="Y14">
        <f t="shared" si="2"/>
        <v>2.24125</v>
      </c>
      <c r="Z14" s="64">
        <f t="shared" si="3"/>
        <v>0.37354166666666666</v>
      </c>
    </row>
    <row r="15" spans="1:26">
      <c r="A15" s="133" t="s">
        <v>51</v>
      </c>
      <c r="B15" s="49">
        <f>'Concrete Flexural'!fy</f>
        <v>40</v>
      </c>
      <c r="C15" s="50" t="s">
        <v>52</v>
      </c>
      <c r="D15" s="67" t="s">
        <v>2</v>
      </c>
      <c r="E15" s="62"/>
      <c r="F15" s="62"/>
      <c r="G15" s="62"/>
      <c r="H15" s="63"/>
      <c r="V15">
        <v>7</v>
      </c>
      <c r="W15">
        <f t="shared" si="0"/>
        <v>1.9205098129947689</v>
      </c>
      <c r="X15">
        <f t="shared" si="1"/>
        <v>2.3874352476042424</v>
      </c>
      <c r="Y15">
        <f t="shared" si="2"/>
        <v>2.24125</v>
      </c>
      <c r="Z15" s="64">
        <f t="shared" si="3"/>
        <v>0.37354166666666666</v>
      </c>
    </row>
    <row r="16" spans="1:26">
      <c r="A16" s="13" t="s">
        <v>33</v>
      </c>
      <c r="B16" s="9">
        <f>IF(B14&lt;4500,0.85, IF(B14&lt;5000,0.825,IF(B14&lt;5500,0.8,IF(B14&lt;6000,0.775,IF(B14&lt;6500,0.75,IF(B14&lt;7000,0.725, IF(B14&lt;7500,0.7, IF(B14&lt;8000,0.675,0.65))))))))</f>
        <v>0.85</v>
      </c>
      <c r="C16" s="10"/>
      <c r="D16" s="62"/>
      <c r="E16" s="62"/>
      <c r="F16" s="62"/>
      <c r="G16" s="62"/>
      <c r="H16" s="63"/>
      <c r="V16">
        <v>8</v>
      </c>
      <c r="W16">
        <f t="shared" si="0"/>
        <v>1.9205098129947689</v>
      </c>
      <c r="X16">
        <f t="shared" si="1"/>
        <v>2.3874352476042424</v>
      </c>
      <c r="Y16">
        <f t="shared" si="2"/>
        <v>2.24125</v>
      </c>
      <c r="Z16" s="64">
        <f t="shared" si="3"/>
        <v>0.37354166666666666</v>
      </c>
    </row>
    <row r="17" spans="1:26">
      <c r="A17" s="17" t="s">
        <v>35</v>
      </c>
      <c r="B17" s="18">
        <f>57000*SQRT(B14)</f>
        <v>3122018.5777794472</v>
      </c>
      <c r="C17" s="10" t="s">
        <v>32</v>
      </c>
      <c r="D17" s="62"/>
      <c r="E17" s="62"/>
      <c r="F17" s="62"/>
      <c r="G17" s="62"/>
      <c r="H17" s="63"/>
      <c r="V17">
        <v>9</v>
      </c>
      <c r="W17">
        <f t="shared" si="0"/>
        <v>1.9205098129947689</v>
      </c>
      <c r="X17">
        <f t="shared" si="1"/>
        <v>2.3874352476042424</v>
      </c>
      <c r="Y17">
        <f t="shared" si="2"/>
        <v>2.24125</v>
      </c>
      <c r="Z17" s="64">
        <f t="shared" si="3"/>
        <v>0.37354166666666666</v>
      </c>
    </row>
    <row r="18" spans="1:26" ht="15.75" thickBot="1">
      <c r="A18" s="28" t="s">
        <v>37</v>
      </c>
      <c r="B18" s="20">
        <f>'Concrete Flexural'!B13</f>
        <v>29000000</v>
      </c>
      <c r="C18" s="21" t="s">
        <v>32</v>
      </c>
      <c r="D18" s="62"/>
      <c r="E18" s="62"/>
      <c r="F18" s="62"/>
      <c r="G18" s="62"/>
      <c r="H18" s="63"/>
      <c r="V18">
        <v>10</v>
      </c>
      <c r="W18">
        <f t="shared" si="0"/>
        <v>1.9205098129947689</v>
      </c>
      <c r="X18">
        <f t="shared" si="1"/>
        <v>2.3874352476042424</v>
      </c>
      <c r="Y18">
        <f t="shared" si="2"/>
        <v>2.24125</v>
      </c>
      <c r="Z18" s="64">
        <f t="shared" si="3"/>
        <v>0.37354166666666666</v>
      </c>
    </row>
    <row r="19" spans="1:26">
      <c r="A19" s="134" t="s">
        <v>120</v>
      </c>
      <c r="B19" s="131">
        <f>'Concrete Flexural'!B5</f>
        <v>5.9</v>
      </c>
      <c r="C19" s="42" t="s">
        <v>1</v>
      </c>
      <c r="D19" s="62"/>
      <c r="E19" s="62"/>
      <c r="F19" s="62"/>
      <c r="G19" s="62"/>
      <c r="H19" s="63"/>
      <c r="V19">
        <v>11</v>
      </c>
      <c r="W19">
        <f t="shared" si="0"/>
        <v>1.9205098129947689</v>
      </c>
      <c r="X19">
        <f t="shared" si="1"/>
        <v>2.3874352476042424</v>
      </c>
      <c r="Y19">
        <f t="shared" si="2"/>
        <v>2.24125</v>
      </c>
      <c r="Z19" s="64">
        <f t="shared" si="3"/>
        <v>0.37354166666666666</v>
      </c>
    </row>
    <row r="20" spans="1:26" ht="15.75" thickBot="1">
      <c r="A20" s="133" t="s">
        <v>10</v>
      </c>
      <c r="B20" s="49">
        <f>'Concrete Flexural'!b</f>
        <v>5.9</v>
      </c>
      <c r="C20" s="50" t="s">
        <v>1</v>
      </c>
      <c r="D20" s="67" t="s">
        <v>2</v>
      </c>
      <c r="E20" s="62"/>
      <c r="F20" s="62"/>
      <c r="G20" s="62"/>
      <c r="H20" s="63"/>
      <c r="V20">
        <v>12</v>
      </c>
      <c r="W20">
        <f t="shared" si="0"/>
        <v>1.9205098129947689</v>
      </c>
      <c r="X20">
        <f t="shared" si="1"/>
        <v>2.3874352476042424</v>
      </c>
      <c r="Y20">
        <f t="shared" si="2"/>
        <v>2.24125</v>
      </c>
      <c r="Z20" s="64">
        <f t="shared" si="3"/>
        <v>0.37354166666666666</v>
      </c>
    </row>
    <row r="21" spans="1:26">
      <c r="A21" s="135" t="s">
        <v>38</v>
      </c>
      <c r="B21" s="5">
        <f>'Concrete Flexural'!B15</f>
        <v>3</v>
      </c>
      <c r="C21" s="6"/>
      <c r="D21" s="67"/>
      <c r="E21" s="62"/>
      <c r="F21" s="62"/>
      <c r="G21" s="62"/>
      <c r="H21" s="63"/>
      <c r="V21">
        <v>13</v>
      </c>
      <c r="W21">
        <f t="shared" si="0"/>
        <v>1.9205098129947689</v>
      </c>
      <c r="X21">
        <f t="shared" si="1"/>
        <v>2.3874352476042424</v>
      </c>
      <c r="Y21">
        <f t="shared" si="2"/>
        <v>2.24125</v>
      </c>
      <c r="Z21" s="64">
        <f t="shared" si="3"/>
        <v>0.37354166666666666</v>
      </c>
    </row>
    <row r="22" spans="1:26">
      <c r="A22" s="13" t="s">
        <v>39</v>
      </c>
      <c r="B22" s="12">
        <f>'Concrete Flexural'!B16</f>
        <v>2</v>
      </c>
      <c r="C22" s="10"/>
      <c r="D22" s="67"/>
      <c r="E22" s="62"/>
      <c r="F22" s="62"/>
      <c r="G22" s="62"/>
      <c r="H22" s="63"/>
      <c r="V22">
        <v>14</v>
      </c>
      <c r="W22">
        <f t="shared" si="0"/>
        <v>1.9205098129947689</v>
      </c>
      <c r="X22">
        <f t="shared" si="1"/>
        <v>2.3874352476042424</v>
      </c>
      <c r="Y22">
        <f t="shared" si="2"/>
        <v>2.24125</v>
      </c>
      <c r="Z22" s="64">
        <f t="shared" si="3"/>
        <v>0.37354166666666666</v>
      </c>
    </row>
    <row r="23" spans="1:26">
      <c r="A23" s="13" t="s">
        <v>40</v>
      </c>
      <c r="B23" s="14">
        <f>'Concrete Flexural'!B17</f>
        <v>0.98</v>
      </c>
      <c r="C23" s="10" t="s">
        <v>1</v>
      </c>
      <c r="D23" s="67"/>
      <c r="E23" s="62"/>
      <c r="F23" s="62"/>
      <c r="G23" s="62"/>
      <c r="H23" s="63"/>
      <c r="V23">
        <v>15</v>
      </c>
      <c r="W23">
        <f t="shared" si="0"/>
        <v>1.9205098129947689</v>
      </c>
      <c r="X23">
        <f t="shared" si="1"/>
        <v>2.3874352476042424</v>
      </c>
      <c r="Y23">
        <f t="shared" si="2"/>
        <v>2.24125</v>
      </c>
      <c r="Z23" s="64">
        <f t="shared" si="3"/>
        <v>0.37354166666666666</v>
      </c>
    </row>
    <row r="24" spans="1:26" ht="17.25">
      <c r="A24" s="13" t="s">
        <v>41</v>
      </c>
      <c r="B24" s="14">
        <f>VLOOKUP(B21,'Lookup Tables'!A1:C12,3,TRUE)</f>
        <v>0.11</v>
      </c>
      <c r="C24" s="10" t="s">
        <v>42</v>
      </c>
      <c r="D24" s="67"/>
      <c r="E24" s="62"/>
      <c r="F24" s="62"/>
      <c r="G24" s="62"/>
      <c r="H24" s="63"/>
      <c r="V24">
        <v>16</v>
      </c>
      <c r="W24">
        <f t="shared" si="0"/>
        <v>1.9205098129947689</v>
      </c>
      <c r="X24">
        <f t="shared" si="1"/>
        <v>2.3874352476042424</v>
      </c>
      <c r="Y24">
        <f t="shared" si="2"/>
        <v>2.24125</v>
      </c>
      <c r="Z24" s="64">
        <f t="shared" si="3"/>
        <v>0.37354166666666666</v>
      </c>
    </row>
    <row r="25" spans="1:26">
      <c r="A25" s="13" t="s">
        <v>93</v>
      </c>
      <c r="B25" s="54">
        <f>VLOOKUP(B21,'Lookup Tables'!A1:C12,2,TRUE)</f>
        <v>0.375</v>
      </c>
      <c r="C25" s="10" t="s">
        <v>1</v>
      </c>
      <c r="D25" s="67"/>
      <c r="E25" s="62"/>
      <c r="F25" s="62"/>
      <c r="G25" s="62"/>
      <c r="H25" s="63"/>
      <c r="V25">
        <v>17</v>
      </c>
      <c r="W25">
        <f t="shared" si="0"/>
        <v>1.9205098129947689</v>
      </c>
      <c r="X25">
        <f t="shared" si="1"/>
        <v>2.3874352476042424</v>
      </c>
      <c r="Y25">
        <f t="shared" si="2"/>
        <v>2.24125</v>
      </c>
      <c r="Z25" s="64">
        <f t="shared" si="3"/>
        <v>0.37354166666666666</v>
      </c>
    </row>
    <row r="26" spans="1:26">
      <c r="A26" s="69" t="s">
        <v>55</v>
      </c>
      <c r="B26" s="52">
        <f>B19-B23-B22/8-B25/2</f>
        <v>4.4824999999999999</v>
      </c>
      <c r="C26" s="50" t="s">
        <v>1</v>
      </c>
      <c r="D26" s="67" t="s">
        <v>102</v>
      </c>
      <c r="E26" s="62"/>
      <c r="F26" s="62"/>
      <c r="G26" s="62"/>
      <c r="H26" s="63"/>
      <c r="V26">
        <v>18</v>
      </c>
      <c r="W26">
        <f t="shared" si="0"/>
        <v>1.9205098129947689</v>
      </c>
      <c r="X26">
        <f t="shared" si="1"/>
        <v>2.3874352476042424</v>
      </c>
      <c r="Y26">
        <f t="shared" si="2"/>
        <v>2.24125</v>
      </c>
      <c r="Z26" s="64">
        <f t="shared" si="3"/>
        <v>0.37354166666666666</v>
      </c>
    </row>
    <row r="27" spans="1:26">
      <c r="A27" s="69" t="s">
        <v>103</v>
      </c>
      <c r="B27" s="52">
        <f>2*SQRT(B14)*B20*B26/1000</f>
        <v>2.8970963095399505</v>
      </c>
      <c r="C27" s="50" t="s">
        <v>97</v>
      </c>
      <c r="D27" s="67" t="s">
        <v>104</v>
      </c>
      <c r="E27" s="62"/>
      <c r="F27" s="62"/>
      <c r="G27" s="62"/>
      <c r="H27" s="63"/>
      <c r="V27">
        <v>19</v>
      </c>
      <c r="W27">
        <f t="shared" si="0"/>
        <v>1.9205098129947689</v>
      </c>
      <c r="X27">
        <f t="shared" si="1"/>
        <v>2.3874352476042424</v>
      </c>
      <c r="Y27">
        <f t="shared" si="2"/>
        <v>2.24125</v>
      </c>
      <c r="Z27" s="64">
        <f t="shared" si="3"/>
        <v>0.37354166666666666</v>
      </c>
    </row>
    <row r="28" spans="1:26" ht="15.75" thickBot="1">
      <c r="A28" s="74" t="s">
        <v>105</v>
      </c>
      <c r="B28" s="53">
        <f>0.75*B27</f>
        <v>2.1728222321549628</v>
      </c>
      <c r="C28" s="48" t="s">
        <v>97</v>
      </c>
      <c r="D28" s="75" t="s">
        <v>106</v>
      </c>
      <c r="E28" s="46"/>
      <c r="F28" s="46"/>
      <c r="G28" s="46"/>
      <c r="H28" s="47"/>
      <c r="V28">
        <v>20</v>
      </c>
      <c r="W28">
        <f t="shared" si="0"/>
        <v>1.9205098129947689</v>
      </c>
      <c r="X28">
        <f t="shared" si="1"/>
        <v>2.3874352476042424</v>
      </c>
      <c r="Y28">
        <f t="shared" si="2"/>
        <v>2.24125</v>
      </c>
      <c r="Z28" s="64">
        <f t="shared" si="3"/>
        <v>0.37354166666666666</v>
      </c>
    </row>
    <row r="29" spans="1:26" ht="16.5" thickTop="1" thickBot="1">
      <c r="A29" s="72"/>
      <c r="V29">
        <v>21</v>
      </c>
      <c r="W29">
        <f t="shared" si="0"/>
        <v>1.9205098129947689</v>
      </c>
      <c r="X29">
        <f t="shared" si="1"/>
        <v>2.3874352476042424</v>
      </c>
      <c r="Y29">
        <f t="shared" si="2"/>
        <v>2.24125</v>
      </c>
      <c r="Z29" s="64">
        <f t="shared" si="3"/>
        <v>0.37354166666666666</v>
      </c>
    </row>
    <row r="30" spans="1:26" ht="16.5" thickTop="1" thickBot="1">
      <c r="A30" s="76"/>
      <c r="B30" s="77" t="s">
        <v>107</v>
      </c>
      <c r="C30" s="78" t="s">
        <v>108</v>
      </c>
      <c r="D30" s="79" t="s">
        <v>109</v>
      </c>
      <c r="E30" s="80"/>
      <c r="V30">
        <v>22</v>
      </c>
      <c r="W30">
        <f t="shared" si="0"/>
        <v>1.9205098129947689</v>
      </c>
      <c r="X30">
        <f t="shared" si="1"/>
        <v>2.3874352476042424</v>
      </c>
      <c r="Y30">
        <f t="shared" si="2"/>
        <v>2.24125</v>
      </c>
      <c r="Z30" s="64">
        <f t="shared" si="3"/>
        <v>0.37354166666666666</v>
      </c>
    </row>
    <row r="31" spans="1:26">
      <c r="A31" s="81" t="s">
        <v>110</v>
      </c>
      <c r="B31" s="82">
        <v>0.11</v>
      </c>
      <c r="C31" s="83">
        <v>0.2</v>
      </c>
      <c r="D31" s="84">
        <v>0.31</v>
      </c>
      <c r="E31" s="85"/>
      <c r="V31">
        <v>23</v>
      </c>
      <c r="W31">
        <f t="shared" si="0"/>
        <v>1.9205098129947689</v>
      </c>
      <c r="X31">
        <f t="shared" si="1"/>
        <v>2.3874352476042424</v>
      </c>
      <c r="Y31">
        <f t="shared" si="2"/>
        <v>2.24125</v>
      </c>
      <c r="Z31" s="64">
        <f t="shared" si="3"/>
        <v>0.37354166666666666</v>
      </c>
    </row>
    <row r="32" spans="1:26">
      <c r="A32" s="86" t="s">
        <v>111</v>
      </c>
      <c r="B32" s="87">
        <v>2</v>
      </c>
      <c r="C32" s="88">
        <v>2</v>
      </c>
      <c r="D32" s="89">
        <v>2</v>
      </c>
      <c r="E32" s="90"/>
      <c r="V32">
        <v>24</v>
      </c>
      <c r="W32">
        <f t="shared" si="0"/>
        <v>1.9205098129947689</v>
      </c>
      <c r="X32">
        <f t="shared" si="1"/>
        <v>2.3874352476042424</v>
      </c>
      <c r="Y32">
        <f t="shared" si="2"/>
        <v>2.24125</v>
      </c>
      <c r="Z32" s="64">
        <f t="shared" si="3"/>
        <v>0.37354166666666666</v>
      </c>
    </row>
    <row r="33" spans="1:26" ht="14.1" customHeight="1">
      <c r="A33" s="91" t="s">
        <v>112</v>
      </c>
      <c r="B33" s="87">
        <f>B31*B32</f>
        <v>0.22</v>
      </c>
      <c r="C33" s="88">
        <f>C31*C32</f>
        <v>0.4</v>
      </c>
      <c r="D33" s="89">
        <f>D31*D32</f>
        <v>0.62</v>
      </c>
      <c r="E33" s="92" t="s">
        <v>113</v>
      </c>
      <c r="V33">
        <v>25</v>
      </c>
      <c r="W33">
        <f t="shared" si="0"/>
        <v>1.9205098129947689</v>
      </c>
      <c r="X33">
        <f t="shared" si="1"/>
        <v>2.3874352476042424</v>
      </c>
      <c r="Y33">
        <f t="shared" si="2"/>
        <v>2.24125</v>
      </c>
      <c r="Z33" s="64">
        <f t="shared" si="3"/>
        <v>0.37354166666666666</v>
      </c>
    </row>
    <row r="34" spans="1:26" ht="14.1" customHeight="1" thickBot="1">
      <c r="A34" s="93" t="s">
        <v>114</v>
      </c>
      <c r="B34" s="94">
        <f>$B26/2</f>
        <v>2.24125</v>
      </c>
      <c r="C34" s="95">
        <f>$B26/2</f>
        <v>2.24125</v>
      </c>
      <c r="D34" s="96">
        <f>$B26/2</f>
        <v>2.24125</v>
      </c>
      <c r="E34" s="97" t="s">
        <v>96</v>
      </c>
      <c r="V34">
        <v>26</v>
      </c>
      <c r="W34">
        <f t="shared" si="0"/>
        <v>1.9205098129947689</v>
      </c>
      <c r="X34">
        <f t="shared" si="1"/>
        <v>2.3874352476042424</v>
      </c>
      <c r="Y34">
        <f t="shared" si="2"/>
        <v>2.24125</v>
      </c>
      <c r="Z34" s="64">
        <f t="shared" si="3"/>
        <v>0.37354166666666666</v>
      </c>
    </row>
    <row r="35" spans="1:26" ht="14.1" customHeight="1" thickTop="1" thickBot="1">
      <c r="A35" s="72"/>
      <c r="V35">
        <v>27</v>
      </c>
      <c r="W35">
        <f t="shared" si="0"/>
        <v>1.9205098129947689</v>
      </c>
      <c r="X35">
        <f t="shared" si="1"/>
        <v>2.3874352476042424</v>
      </c>
      <c r="Y35">
        <f t="shared" si="2"/>
        <v>2.24125</v>
      </c>
      <c r="Z35" s="64">
        <f t="shared" si="3"/>
        <v>0.37354166666666666</v>
      </c>
    </row>
    <row r="36" spans="1:26" ht="14.1" customHeight="1" thickTop="1">
      <c r="A36" s="98" t="s">
        <v>94</v>
      </c>
      <c r="B36" s="99">
        <f>(B9-B28)/B11</f>
        <v>1.9205098129947689</v>
      </c>
      <c r="V36">
        <v>28</v>
      </c>
      <c r="W36">
        <f t="shared" si="0"/>
        <v>1.9205098129947689</v>
      </c>
      <c r="X36">
        <f t="shared" si="1"/>
        <v>2.3874352476042424</v>
      </c>
      <c r="Y36">
        <f t="shared" si="2"/>
        <v>2.24125</v>
      </c>
      <c r="Z36" s="64">
        <f t="shared" si="3"/>
        <v>0.37354166666666666</v>
      </c>
    </row>
    <row r="37" spans="1:26" ht="14.1" customHeight="1" thickBot="1">
      <c r="A37" s="100" t="s">
        <v>95</v>
      </c>
      <c r="B37" s="101">
        <f>(B9-B28/2)/B11</f>
        <v>2.3874352476042424</v>
      </c>
      <c r="V37">
        <v>29</v>
      </c>
      <c r="W37">
        <f t="shared" si="0"/>
        <v>1.9205098129947689</v>
      </c>
      <c r="X37">
        <f t="shared" si="1"/>
        <v>2.3874352476042424</v>
      </c>
      <c r="Y37">
        <f t="shared" si="2"/>
        <v>2.24125</v>
      </c>
      <c r="Z37" s="64">
        <f t="shared" si="3"/>
        <v>0.37354166666666666</v>
      </c>
    </row>
    <row r="38" spans="1:26" ht="14.1" customHeight="1" thickTop="1" thickBot="1">
      <c r="V38">
        <v>30</v>
      </c>
      <c r="W38">
        <f t="shared" si="0"/>
        <v>1.9205098129947689</v>
      </c>
      <c r="X38">
        <f t="shared" si="1"/>
        <v>2.3874352476042424</v>
      </c>
      <c r="Y38">
        <f t="shared" si="2"/>
        <v>2.24125</v>
      </c>
      <c r="Z38" s="64">
        <f t="shared" si="3"/>
        <v>0.37354166666666666</v>
      </c>
    </row>
    <row r="39" spans="1:26" ht="14.1" customHeight="1" thickTop="1" thickBot="1">
      <c r="A39" s="102"/>
      <c r="B39" s="103"/>
      <c r="C39" s="103"/>
      <c r="D39" s="103"/>
      <c r="E39" s="103"/>
      <c r="F39" s="174" t="s">
        <v>115</v>
      </c>
      <c r="G39" s="175"/>
      <c r="H39" s="176"/>
      <c r="V39">
        <v>31</v>
      </c>
      <c r="W39">
        <f t="shared" si="0"/>
        <v>1.9205098129947689</v>
      </c>
      <c r="X39">
        <f t="shared" si="1"/>
        <v>2.3874352476042424</v>
      </c>
      <c r="Y39">
        <f t="shared" si="2"/>
        <v>2.24125</v>
      </c>
      <c r="Z39" s="64">
        <f t="shared" si="3"/>
        <v>0.37354166666666666</v>
      </c>
    </row>
    <row r="40" spans="1:26" ht="14.1" customHeight="1" thickBot="1">
      <c r="A40" s="104" t="s">
        <v>116</v>
      </c>
      <c r="B40" s="105" t="s">
        <v>147</v>
      </c>
      <c r="C40" s="106" t="s">
        <v>117</v>
      </c>
      <c r="D40" s="107" t="s">
        <v>118</v>
      </c>
      <c r="E40" s="108" t="s">
        <v>119</v>
      </c>
      <c r="F40" s="109" t="s">
        <v>107</v>
      </c>
      <c r="G40" s="107" t="s">
        <v>108</v>
      </c>
      <c r="H40" s="110" t="s">
        <v>109</v>
      </c>
      <c r="V40">
        <v>32</v>
      </c>
      <c r="W40">
        <f t="shared" ref="W40:W71" si="4">$B$36</f>
        <v>1.9205098129947689</v>
      </c>
      <c r="X40">
        <f t="shared" ref="X40:X71" si="5">$B$37</f>
        <v>2.3874352476042424</v>
      </c>
      <c r="Y40">
        <f t="shared" ref="Y40:Y72" si="6">$B$26/2</f>
        <v>2.24125</v>
      </c>
      <c r="Z40" s="64">
        <f t="shared" ref="Z40:Z72" si="7">$B$26/12</f>
        <v>0.37354166666666666</v>
      </c>
    </row>
    <row r="41" spans="1:26" ht="14.1" customHeight="1">
      <c r="A41" s="111">
        <v>-2</v>
      </c>
      <c r="B41" s="112" t="e">
        <f t="shared" ref="B41:B72" si="8">$B$4/$B$12*A41</f>
        <v>#REF!</v>
      </c>
      <c r="C41" s="113" t="e">
        <f>1/2*($B$11-$B$11*B41/$B$4)*($B$4-B41)</f>
        <v>#REF!</v>
      </c>
      <c r="D41" s="114" t="e">
        <f t="shared" ref="D41:D72" si="9">IF(B41&lt;$B$26/12,1/2*($B$11-$B$11*($B$26/12)/$B$4)*($B$4-($B$26/12)),1/2*($B$11-$B$11*B41/$B$4)*($B$4-B41))</f>
        <v>#REF!</v>
      </c>
      <c r="E41" s="115"/>
      <c r="F41" s="82"/>
      <c r="G41" s="83"/>
      <c r="H41" s="116"/>
      <c r="V41">
        <v>33</v>
      </c>
      <c r="W41">
        <f t="shared" si="4"/>
        <v>1.9205098129947689</v>
      </c>
      <c r="X41">
        <f t="shared" si="5"/>
        <v>2.3874352476042424</v>
      </c>
      <c r="Y41">
        <f t="shared" si="6"/>
        <v>2.24125</v>
      </c>
      <c r="Z41" s="64">
        <f t="shared" si="7"/>
        <v>0.37354166666666666</v>
      </c>
    </row>
    <row r="42" spans="1:26" ht="14.1" customHeight="1">
      <c r="A42" s="117">
        <v>-1</v>
      </c>
      <c r="B42" s="118" t="e">
        <f t="shared" si="8"/>
        <v>#REF!</v>
      </c>
      <c r="C42" s="113" t="e">
        <f>1/2*($B$11-$B$11*B42/$B$4)*($B$4-B42)</f>
        <v>#REF!</v>
      </c>
      <c r="D42" s="114" t="e">
        <f t="shared" si="9"/>
        <v>#REF!</v>
      </c>
      <c r="E42" s="119"/>
      <c r="F42" s="87"/>
      <c r="G42" s="88"/>
      <c r="H42" s="120"/>
      <c r="V42">
        <v>34</v>
      </c>
      <c r="W42">
        <f t="shared" si="4"/>
        <v>1.9205098129947689</v>
      </c>
      <c r="X42">
        <f t="shared" si="5"/>
        <v>2.3874352476042424</v>
      </c>
      <c r="Y42">
        <f t="shared" si="6"/>
        <v>2.24125</v>
      </c>
      <c r="Z42" s="64">
        <f t="shared" si="7"/>
        <v>0.37354166666666666</v>
      </c>
    </row>
    <row r="43" spans="1:26" ht="14.1" customHeight="1">
      <c r="A43" s="121">
        <v>0</v>
      </c>
      <c r="B43" s="89" t="e">
        <f t="shared" si="8"/>
        <v>#REF!</v>
      </c>
      <c r="C43" s="152" t="e">
        <f>1/2*($B$11-$B$11*B43/$B$4)*($B$4-B43)</f>
        <v>#REF!</v>
      </c>
      <c r="D43" s="154" t="e">
        <f t="shared" si="9"/>
        <v>#REF!</v>
      </c>
      <c r="E43" s="122" t="e">
        <f>D43-$B$28</f>
        <v>#REF!</v>
      </c>
      <c r="F43" s="123" t="e">
        <f t="shared" ref="F43:F74" si="10">0.75*B$33*$B$15*$B$26/$E43</f>
        <v>#REF!</v>
      </c>
      <c r="G43" s="124" t="e">
        <f t="shared" ref="G43:G74" si="11">0.75*C$33*$B$15*$B$26/$E43</f>
        <v>#REF!</v>
      </c>
      <c r="H43" s="125" t="e">
        <f t="shared" ref="H43:H74" si="12">0.75*D$33*$B$15*$B$26/$E43</f>
        <v>#REF!</v>
      </c>
      <c r="V43">
        <v>35</v>
      </c>
      <c r="W43">
        <f t="shared" si="4"/>
        <v>1.9205098129947689</v>
      </c>
      <c r="X43">
        <f t="shared" si="5"/>
        <v>2.3874352476042424</v>
      </c>
      <c r="Y43">
        <f t="shared" si="6"/>
        <v>2.24125</v>
      </c>
      <c r="Z43" s="64">
        <f t="shared" si="7"/>
        <v>0.37354166666666666</v>
      </c>
    </row>
    <row r="44" spans="1:26" ht="14.1" customHeight="1">
      <c r="A44" s="121">
        <v>1</v>
      </c>
      <c r="B44" s="89" t="e">
        <f t="shared" si="8"/>
        <v>#REF!</v>
      </c>
      <c r="C44" s="152" t="e">
        <f>1/2*($B$11-$B$11*B44/$B$4)*($B$4-B44)</f>
        <v>#REF!</v>
      </c>
      <c r="D44" s="154" t="e">
        <f t="shared" si="9"/>
        <v>#REF!</v>
      </c>
      <c r="E44" s="122" t="e">
        <f t="shared" ref="E44:E107" si="13">D44-$B$28</f>
        <v>#REF!</v>
      </c>
      <c r="F44" s="123" t="e">
        <f t="shared" si="10"/>
        <v>#REF!</v>
      </c>
      <c r="G44" s="124" t="e">
        <f t="shared" si="11"/>
        <v>#REF!</v>
      </c>
      <c r="H44" s="125" t="e">
        <f t="shared" si="12"/>
        <v>#REF!</v>
      </c>
      <c r="V44">
        <v>36</v>
      </c>
      <c r="W44">
        <f t="shared" si="4"/>
        <v>1.9205098129947689</v>
      </c>
      <c r="X44">
        <f t="shared" si="5"/>
        <v>2.3874352476042424</v>
      </c>
      <c r="Y44">
        <f t="shared" si="6"/>
        <v>2.24125</v>
      </c>
      <c r="Z44" s="64">
        <f t="shared" si="7"/>
        <v>0.37354166666666666</v>
      </c>
    </row>
    <row r="45" spans="1:26" ht="14.1" customHeight="1">
      <c r="A45" s="121">
        <v>2</v>
      </c>
      <c r="B45" s="89" t="e">
        <f t="shared" si="8"/>
        <v>#REF!</v>
      </c>
      <c r="C45" s="152" t="e">
        <f t="shared" ref="C45:C90" si="14">1/2*($B$11-$B$11*B45/$B$4)*($B$4-B45)</f>
        <v>#REF!</v>
      </c>
      <c r="D45" s="154" t="e">
        <f t="shared" si="9"/>
        <v>#REF!</v>
      </c>
      <c r="E45" s="122" t="e">
        <f t="shared" si="13"/>
        <v>#REF!</v>
      </c>
      <c r="F45" s="123" t="e">
        <f t="shared" si="10"/>
        <v>#REF!</v>
      </c>
      <c r="G45" s="124" t="e">
        <f t="shared" si="11"/>
        <v>#REF!</v>
      </c>
      <c r="H45" s="125" t="e">
        <f t="shared" si="12"/>
        <v>#REF!</v>
      </c>
      <c r="V45">
        <v>37</v>
      </c>
      <c r="W45">
        <f t="shared" si="4"/>
        <v>1.9205098129947689</v>
      </c>
      <c r="X45">
        <f t="shared" si="5"/>
        <v>2.3874352476042424</v>
      </c>
      <c r="Y45">
        <f t="shared" si="6"/>
        <v>2.24125</v>
      </c>
      <c r="Z45" s="64">
        <f t="shared" si="7"/>
        <v>0.37354166666666666</v>
      </c>
    </row>
    <row r="46" spans="1:26" ht="14.1" customHeight="1">
      <c r="A46" s="121">
        <v>3</v>
      </c>
      <c r="B46" s="89" t="e">
        <f t="shared" si="8"/>
        <v>#REF!</v>
      </c>
      <c r="C46" s="152" t="e">
        <f t="shared" si="14"/>
        <v>#REF!</v>
      </c>
      <c r="D46" s="154" t="e">
        <f t="shared" si="9"/>
        <v>#REF!</v>
      </c>
      <c r="E46" s="122" t="e">
        <f t="shared" si="13"/>
        <v>#REF!</v>
      </c>
      <c r="F46" s="123" t="e">
        <f t="shared" si="10"/>
        <v>#REF!</v>
      </c>
      <c r="G46" s="124" t="e">
        <f t="shared" si="11"/>
        <v>#REF!</v>
      </c>
      <c r="H46" s="125" t="e">
        <f t="shared" si="12"/>
        <v>#REF!</v>
      </c>
      <c r="V46">
        <v>38</v>
      </c>
      <c r="W46">
        <f t="shared" si="4"/>
        <v>1.9205098129947689</v>
      </c>
      <c r="X46">
        <f t="shared" si="5"/>
        <v>2.3874352476042424</v>
      </c>
      <c r="Y46">
        <f t="shared" si="6"/>
        <v>2.24125</v>
      </c>
      <c r="Z46" s="64">
        <f t="shared" si="7"/>
        <v>0.37354166666666666</v>
      </c>
    </row>
    <row r="47" spans="1:26" ht="14.1" customHeight="1">
      <c r="A47" s="121">
        <v>4</v>
      </c>
      <c r="B47" s="89" t="e">
        <f t="shared" si="8"/>
        <v>#REF!</v>
      </c>
      <c r="C47" s="152" t="e">
        <f t="shared" si="14"/>
        <v>#REF!</v>
      </c>
      <c r="D47" s="154" t="e">
        <f t="shared" si="9"/>
        <v>#REF!</v>
      </c>
      <c r="E47" s="122" t="e">
        <f t="shared" si="13"/>
        <v>#REF!</v>
      </c>
      <c r="F47" s="123" t="e">
        <f t="shared" si="10"/>
        <v>#REF!</v>
      </c>
      <c r="G47" s="124" t="e">
        <f t="shared" si="11"/>
        <v>#REF!</v>
      </c>
      <c r="H47" s="125" t="e">
        <f t="shared" si="12"/>
        <v>#REF!</v>
      </c>
      <c r="V47">
        <v>39</v>
      </c>
      <c r="W47">
        <f t="shared" si="4"/>
        <v>1.9205098129947689</v>
      </c>
      <c r="X47">
        <f t="shared" si="5"/>
        <v>2.3874352476042424</v>
      </c>
      <c r="Y47">
        <f t="shared" si="6"/>
        <v>2.24125</v>
      </c>
      <c r="Z47" s="64">
        <f t="shared" si="7"/>
        <v>0.37354166666666666</v>
      </c>
    </row>
    <row r="48" spans="1:26" ht="14.1" customHeight="1">
      <c r="A48" s="121">
        <v>5</v>
      </c>
      <c r="B48" s="89" t="e">
        <f t="shared" si="8"/>
        <v>#REF!</v>
      </c>
      <c r="C48" s="152" t="e">
        <f t="shared" si="14"/>
        <v>#REF!</v>
      </c>
      <c r="D48" s="154" t="e">
        <f t="shared" si="9"/>
        <v>#REF!</v>
      </c>
      <c r="E48" s="122" t="e">
        <f t="shared" si="13"/>
        <v>#REF!</v>
      </c>
      <c r="F48" s="123" t="e">
        <f t="shared" si="10"/>
        <v>#REF!</v>
      </c>
      <c r="G48" s="124" t="e">
        <f t="shared" si="11"/>
        <v>#REF!</v>
      </c>
      <c r="H48" s="125" t="e">
        <f t="shared" si="12"/>
        <v>#REF!</v>
      </c>
      <c r="V48">
        <v>40</v>
      </c>
      <c r="W48">
        <f t="shared" si="4"/>
        <v>1.9205098129947689</v>
      </c>
      <c r="X48">
        <f t="shared" si="5"/>
        <v>2.3874352476042424</v>
      </c>
      <c r="Y48">
        <f t="shared" si="6"/>
        <v>2.24125</v>
      </c>
      <c r="Z48" s="64">
        <f t="shared" si="7"/>
        <v>0.37354166666666666</v>
      </c>
    </row>
    <row r="49" spans="1:26" ht="14.1" customHeight="1">
      <c r="A49" s="121">
        <v>6</v>
      </c>
      <c r="B49" s="89" t="e">
        <f t="shared" si="8"/>
        <v>#REF!</v>
      </c>
      <c r="C49" s="152" t="e">
        <f t="shared" si="14"/>
        <v>#REF!</v>
      </c>
      <c r="D49" s="154" t="e">
        <f t="shared" si="9"/>
        <v>#REF!</v>
      </c>
      <c r="E49" s="122" t="e">
        <f t="shared" si="13"/>
        <v>#REF!</v>
      </c>
      <c r="F49" s="123" t="e">
        <f t="shared" si="10"/>
        <v>#REF!</v>
      </c>
      <c r="G49" s="124" t="e">
        <f t="shared" si="11"/>
        <v>#REF!</v>
      </c>
      <c r="H49" s="125" t="e">
        <f t="shared" si="12"/>
        <v>#REF!</v>
      </c>
      <c r="V49">
        <v>41</v>
      </c>
      <c r="W49">
        <f t="shared" si="4"/>
        <v>1.9205098129947689</v>
      </c>
      <c r="X49">
        <f t="shared" si="5"/>
        <v>2.3874352476042424</v>
      </c>
      <c r="Y49">
        <f t="shared" si="6"/>
        <v>2.24125</v>
      </c>
      <c r="Z49" s="64">
        <f t="shared" si="7"/>
        <v>0.37354166666666666</v>
      </c>
    </row>
    <row r="50" spans="1:26" ht="14.1" customHeight="1">
      <c r="A50" s="121">
        <v>7</v>
      </c>
      <c r="B50" s="89" t="e">
        <f t="shared" si="8"/>
        <v>#REF!</v>
      </c>
      <c r="C50" s="152" t="e">
        <f t="shared" si="14"/>
        <v>#REF!</v>
      </c>
      <c r="D50" s="154" t="e">
        <f t="shared" si="9"/>
        <v>#REF!</v>
      </c>
      <c r="E50" s="122" t="e">
        <f t="shared" si="13"/>
        <v>#REF!</v>
      </c>
      <c r="F50" s="123" t="e">
        <f t="shared" si="10"/>
        <v>#REF!</v>
      </c>
      <c r="G50" s="124" t="e">
        <f t="shared" si="11"/>
        <v>#REF!</v>
      </c>
      <c r="H50" s="125" t="e">
        <f t="shared" si="12"/>
        <v>#REF!</v>
      </c>
      <c r="V50">
        <v>42</v>
      </c>
      <c r="W50">
        <f t="shared" si="4"/>
        <v>1.9205098129947689</v>
      </c>
      <c r="X50">
        <f t="shared" si="5"/>
        <v>2.3874352476042424</v>
      </c>
      <c r="Y50">
        <f t="shared" si="6"/>
        <v>2.24125</v>
      </c>
      <c r="Z50" s="64">
        <f t="shared" si="7"/>
        <v>0.37354166666666666</v>
      </c>
    </row>
    <row r="51" spans="1:26" ht="14.1" customHeight="1">
      <c r="A51" s="121">
        <v>8</v>
      </c>
      <c r="B51" s="89" t="e">
        <f t="shared" si="8"/>
        <v>#REF!</v>
      </c>
      <c r="C51" s="152" t="e">
        <f t="shared" si="14"/>
        <v>#REF!</v>
      </c>
      <c r="D51" s="154" t="e">
        <f t="shared" si="9"/>
        <v>#REF!</v>
      </c>
      <c r="E51" s="122" t="e">
        <f t="shared" si="13"/>
        <v>#REF!</v>
      </c>
      <c r="F51" s="123" t="e">
        <f t="shared" si="10"/>
        <v>#REF!</v>
      </c>
      <c r="G51" s="124" t="e">
        <f t="shared" si="11"/>
        <v>#REF!</v>
      </c>
      <c r="H51" s="125" t="e">
        <f t="shared" si="12"/>
        <v>#REF!</v>
      </c>
      <c r="V51">
        <v>43</v>
      </c>
      <c r="W51">
        <f t="shared" si="4"/>
        <v>1.9205098129947689</v>
      </c>
      <c r="X51">
        <f t="shared" si="5"/>
        <v>2.3874352476042424</v>
      </c>
      <c r="Y51">
        <f t="shared" si="6"/>
        <v>2.24125</v>
      </c>
      <c r="Z51" s="64">
        <f t="shared" si="7"/>
        <v>0.37354166666666666</v>
      </c>
    </row>
    <row r="52" spans="1:26" ht="14.1" customHeight="1">
      <c r="A52" s="121">
        <v>9</v>
      </c>
      <c r="B52" s="89" t="e">
        <f t="shared" si="8"/>
        <v>#REF!</v>
      </c>
      <c r="C52" s="152" t="e">
        <f t="shared" si="14"/>
        <v>#REF!</v>
      </c>
      <c r="D52" s="154" t="e">
        <f t="shared" si="9"/>
        <v>#REF!</v>
      </c>
      <c r="E52" s="122" t="e">
        <f t="shared" si="13"/>
        <v>#REF!</v>
      </c>
      <c r="F52" s="123" t="e">
        <f t="shared" si="10"/>
        <v>#REF!</v>
      </c>
      <c r="G52" s="124" t="e">
        <f t="shared" si="11"/>
        <v>#REF!</v>
      </c>
      <c r="H52" s="125" t="e">
        <f t="shared" si="12"/>
        <v>#REF!</v>
      </c>
      <c r="V52">
        <v>44</v>
      </c>
      <c r="W52">
        <f t="shared" si="4"/>
        <v>1.9205098129947689</v>
      </c>
      <c r="X52">
        <f t="shared" si="5"/>
        <v>2.3874352476042424</v>
      </c>
      <c r="Y52">
        <f t="shared" si="6"/>
        <v>2.24125</v>
      </c>
      <c r="Z52" s="64">
        <f t="shared" si="7"/>
        <v>0.37354166666666666</v>
      </c>
    </row>
    <row r="53" spans="1:26" ht="14.1" customHeight="1">
      <c r="A53" s="121">
        <v>10</v>
      </c>
      <c r="B53" s="89" t="e">
        <f t="shared" si="8"/>
        <v>#REF!</v>
      </c>
      <c r="C53" s="152" t="e">
        <f t="shared" si="14"/>
        <v>#REF!</v>
      </c>
      <c r="D53" s="154" t="e">
        <f t="shared" si="9"/>
        <v>#REF!</v>
      </c>
      <c r="E53" s="122" t="e">
        <f t="shared" si="13"/>
        <v>#REF!</v>
      </c>
      <c r="F53" s="123" t="e">
        <f t="shared" si="10"/>
        <v>#REF!</v>
      </c>
      <c r="G53" s="124" t="e">
        <f t="shared" si="11"/>
        <v>#REF!</v>
      </c>
      <c r="H53" s="125" t="e">
        <f t="shared" si="12"/>
        <v>#REF!</v>
      </c>
      <c r="V53">
        <v>45</v>
      </c>
      <c r="W53">
        <f t="shared" si="4"/>
        <v>1.9205098129947689</v>
      </c>
      <c r="X53">
        <f t="shared" si="5"/>
        <v>2.3874352476042424</v>
      </c>
      <c r="Y53">
        <f t="shared" si="6"/>
        <v>2.24125</v>
      </c>
      <c r="Z53" s="64">
        <f t="shared" si="7"/>
        <v>0.37354166666666666</v>
      </c>
    </row>
    <row r="54" spans="1:26" ht="14.1" customHeight="1">
      <c r="A54" s="121">
        <v>11</v>
      </c>
      <c r="B54" s="89" t="e">
        <f t="shared" si="8"/>
        <v>#REF!</v>
      </c>
      <c r="C54" s="152" t="e">
        <f t="shared" si="14"/>
        <v>#REF!</v>
      </c>
      <c r="D54" s="154" t="e">
        <f t="shared" si="9"/>
        <v>#REF!</v>
      </c>
      <c r="E54" s="122" t="e">
        <f t="shared" si="13"/>
        <v>#REF!</v>
      </c>
      <c r="F54" s="123" t="e">
        <f t="shared" si="10"/>
        <v>#REF!</v>
      </c>
      <c r="G54" s="124" t="e">
        <f t="shared" si="11"/>
        <v>#REF!</v>
      </c>
      <c r="H54" s="125" t="e">
        <f t="shared" si="12"/>
        <v>#REF!</v>
      </c>
      <c r="V54">
        <v>46</v>
      </c>
      <c r="W54">
        <f t="shared" si="4"/>
        <v>1.9205098129947689</v>
      </c>
      <c r="X54">
        <f t="shared" si="5"/>
        <v>2.3874352476042424</v>
      </c>
      <c r="Y54">
        <f t="shared" si="6"/>
        <v>2.24125</v>
      </c>
      <c r="Z54" s="64">
        <f t="shared" si="7"/>
        <v>0.37354166666666666</v>
      </c>
    </row>
    <row r="55" spans="1:26" ht="14.1" customHeight="1">
      <c r="A55" s="121">
        <v>12</v>
      </c>
      <c r="B55" s="89" t="e">
        <f t="shared" si="8"/>
        <v>#REF!</v>
      </c>
      <c r="C55" s="152" t="e">
        <f t="shared" si="14"/>
        <v>#REF!</v>
      </c>
      <c r="D55" s="154" t="e">
        <f t="shared" si="9"/>
        <v>#REF!</v>
      </c>
      <c r="E55" s="122" t="e">
        <f t="shared" si="13"/>
        <v>#REF!</v>
      </c>
      <c r="F55" s="123" t="e">
        <f t="shared" si="10"/>
        <v>#REF!</v>
      </c>
      <c r="G55" s="124" t="e">
        <f t="shared" si="11"/>
        <v>#REF!</v>
      </c>
      <c r="H55" s="125" t="e">
        <f t="shared" si="12"/>
        <v>#REF!</v>
      </c>
      <c r="V55">
        <v>47</v>
      </c>
      <c r="W55">
        <f t="shared" si="4"/>
        <v>1.9205098129947689</v>
      </c>
      <c r="X55">
        <f t="shared" si="5"/>
        <v>2.3874352476042424</v>
      </c>
      <c r="Y55">
        <f t="shared" si="6"/>
        <v>2.24125</v>
      </c>
      <c r="Z55" s="64">
        <f t="shared" si="7"/>
        <v>0.37354166666666666</v>
      </c>
    </row>
    <row r="56" spans="1:26" ht="14.1" customHeight="1">
      <c r="A56" s="121">
        <v>13</v>
      </c>
      <c r="B56" s="89" t="e">
        <f t="shared" si="8"/>
        <v>#REF!</v>
      </c>
      <c r="C56" s="152" t="e">
        <f t="shared" si="14"/>
        <v>#REF!</v>
      </c>
      <c r="D56" s="154" t="e">
        <f t="shared" si="9"/>
        <v>#REF!</v>
      </c>
      <c r="E56" s="122" t="e">
        <f t="shared" si="13"/>
        <v>#REF!</v>
      </c>
      <c r="F56" s="123" t="e">
        <f t="shared" si="10"/>
        <v>#REF!</v>
      </c>
      <c r="G56" s="124" t="e">
        <f t="shared" si="11"/>
        <v>#REF!</v>
      </c>
      <c r="H56" s="125" t="e">
        <f t="shared" si="12"/>
        <v>#REF!</v>
      </c>
      <c r="V56">
        <v>48</v>
      </c>
      <c r="W56">
        <f t="shared" si="4"/>
        <v>1.9205098129947689</v>
      </c>
      <c r="X56">
        <f t="shared" si="5"/>
        <v>2.3874352476042424</v>
      </c>
      <c r="Y56">
        <f t="shared" si="6"/>
        <v>2.24125</v>
      </c>
      <c r="Z56" s="64">
        <f t="shared" si="7"/>
        <v>0.37354166666666666</v>
      </c>
    </row>
    <row r="57" spans="1:26" ht="14.1" customHeight="1">
      <c r="A57" s="121">
        <v>14</v>
      </c>
      <c r="B57" s="89" t="e">
        <f t="shared" si="8"/>
        <v>#REF!</v>
      </c>
      <c r="C57" s="152" t="e">
        <f t="shared" si="14"/>
        <v>#REF!</v>
      </c>
      <c r="D57" s="154" t="e">
        <f t="shared" si="9"/>
        <v>#REF!</v>
      </c>
      <c r="E57" s="122" t="e">
        <f t="shared" si="13"/>
        <v>#REF!</v>
      </c>
      <c r="F57" s="123" t="e">
        <f t="shared" si="10"/>
        <v>#REF!</v>
      </c>
      <c r="G57" s="124" t="e">
        <f t="shared" si="11"/>
        <v>#REF!</v>
      </c>
      <c r="H57" s="125" t="e">
        <f t="shared" si="12"/>
        <v>#REF!</v>
      </c>
      <c r="V57">
        <v>49</v>
      </c>
      <c r="W57">
        <f t="shared" si="4"/>
        <v>1.9205098129947689</v>
      </c>
      <c r="X57">
        <f t="shared" si="5"/>
        <v>2.3874352476042424</v>
      </c>
      <c r="Y57">
        <f t="shared" si="6"/>
        <v>2.24125</v>
      </c>
      <c r="Z57" s="64">
        <f t="shared" si="7"/>
        <v>0.37354166666666666</v>
      </c>
    </row>
    <row r="58" spans="1:26" ht="14.1" customHeight="1">
      <c r="A58" s="121">
        <v>15</v>
      </c>
      <c r="B58" s="89" t="e">
        <f t="shared" si="8"/>
        <v>#REF!</v>
      </c>
      <c r="C58" s="152" t="e">
        <f t="shared" si="14"/>
        <v>#REF!</v>
      </c>
      <c r="D58" s="154" t="e">
        <f t="shared" si="9"/>
        <v>#REF!</v>
      </c>
      <c r="E58" s="122" t="e">
        <f t="shared" si="13"/>
        <v>#REF!</v>
      </c>
      <c r="F58" s="123" t="e">
        <f t="shared" si="10"/>
        <v>#REF!</v>
      </c>
      <c r="G58" s="124" t="e">
        <f t="shared" si="11"/>
        <v>#REF!</v>
      </c>
      <c r="H58" s="125" t="e">
        <f t="shared" si="12"/>
        <v>#REF!</v>
      </c>
      <c r="V58">
        <v>50</v>
      </c>
      <c r="W58">
        <f t="shared" si="4"/>
        <v>1.9205098129947689</v>
      </c>
      <c r="X58">
        <f t="shared" si="5"/>
        <v>2.3874352476042424</v>
      </c>
      <c r="Y58">
        <f t="shared" si="6"/>
        <v>2.24125</v>
      </c>
      <c r="Z58" s="64">
        <f t="shared" si="7"/>
        <v>0.37354166666666666</v>
      </c>
    </row>
    <row r="59" spans="1:26" ht="14.1" customHeight="1">
      <c r="A59" s="121">
        <v>16</v>
      </c>
      <c r="B59" s="89" t="e">
        <f t="shared" si="8"/>
        <v>#REF!</v>
      </c>
      <c r="C59" s="152" t="e">
        <f t="shared" si="14"/>
        <v>#REF!</v>
      </c>
      <c r="D59" s="154" t="e">
        <f t="shared" si="9"/>
        <v>#REF!</v>
      </c>
      <c r="E59" s="122" t="e">
        <f t="shared" si="13"/>
        <v>#REF!</v>
      </c>
      <c r="F59" s="123" t="e">
        <f t="shared" si="10"/>
        <v>#REF!</v>
      </c>
      <c r="G59" s="124" t="e">
        <f t="shared" si="11"/>
        <v>#REF!</v>
      </c>
      <c r="H59" s="125" t="e">
        <f t="shared" si="12"/>
        <v>#REF!</v>
      </c>
      <c r="V59">
        <v>51</v>
      </c>
      <c r="W59">
        <f t="shared" si="4"/>
        <v>1.9205098129947689</v>
      </c>
      <c r="X59">
        <f t="shared" si="5"/>
        <v>2.3874352476042424</v>
      </c>
      <c r="Y59">
        <f t="shared" si="6"/>
        <v>2.24125</v>
      </c>
      <c r="Z59" s="64">
        <f t="shared" si="7"/>
        <v>0.37354166666666666</v>
      </c>
    </row>
    <row r="60" spans="1:26" ht="14.1" customHeight="1">
      <c r="A60" s="121">
        <v>17</v>
      </c>
      <c r="B60" s="89" t="e">
        <f t="shared" si="8"/>
        <v>#REF!</v>
      </c>
      <c r="C60" s="152" t="e">
        <f t="shared" si="14"/>
        <v>#REF!</v>
      </c>
      <c r="D60" s="154" t="e">
        <f t="shared" si="9"/>
        <v>#REF!</v>
      </c>
      <c r="E60" s="122" t="e">
        <f t="shared" si="13"/>
        <v>#REF!</v>
      </c>
      <c r="F60" s="123" t="e">
        <f t="shared" si="10"/>
        <v>#REF!</v>
      </c>
      <c r="G60" s="124" t="e">
        <f t="shared" si="11"/>
        <v>#REF!</v>
      </c>
      <c r="H60" s="125" t="e">
        <f t="shared" si="12"/>
        <v>#REF!</v>
      </c>
      <c r="V60">
        <v>52</v>
      </c>
      <c r="W60">
        <f t="shared" si="4"/>
        <v>1.9205098129947689</v>
      </c>
      <c r="X60">
        <f t="shared" si="5"/>
        <v>2.3874352476042424</v>
      </c>
      <c r="Y60">
        <f t="shared" si="6"/>
        <v>2.24125</v>
      </c>
      <c r="Z60" s="64">
        <f t="shared" si="7"/>
        <v>0.37354166666666666</v>
      </c>
    </row>
    <row r="61" spans="1:26" ht="14.1" customHeight="1">
      <c r="A61" s="121">
        <v>18</v>
      </c>
      <c r="B61" s="89" t="e">
        <f t="shared" si="8"/>
        <v>#REF!</v>
      </c>
      <c r="C61" s="152" t="e">
        <f t="shared" si="14"/>
        <v>#REF!</v>
      </c>
      <c r="D61" s="154" t="e">
        <f t="shared" si="9"/>
        <v>#REF!</v>
      </c>
      <c r="E61" s="122" t="e">
        <f t="shared" si="13"/>
        <v>#REF!</v>
      </c>
      <c r="F61" s="123" t="e">
        <f t="shared" si="10"/>
        <v>#REF!</v>
      </c>
      <c r="G61" s="124" t="e">
        <f t="shared" si="11"/>
        <v>#REF!</v>
      </c>
      <c r="H61" s="125" t="e">
        <f t="shared" si="12"/>
        <v>#REF!</v>
      </c>
      <c r="V61">
        <v>53</v>
      </c>
      <c r="W61">
        <f t="shared" si="4"/>
        <v>1.9205098129947689</v>
      </c>
      <c r="X61">
        <f t="shared" si="5"/>
        <v>2.3874352476042424</v>
      </c>
      <c r="Y61">
        <f t="shared" si="6"/>
        <v>2.24125</v>
      </c>
      <c r="Z61" s="64">
        <f t="shared" si="7"/>
        <v>0.37354166666666666</v>
      </c>
    </row>
    <row r="62" spans="1:26" ht="14.1" customHeight="1">
      <c r="A62" s="121">
        <v>19</v>
      </c>
      <c r="B62" s="89" t="e">
        <f t="shared" si="8"/>
        <v>#REF!</v>
      </c>
      <c r="C62" s="152" t="e">
        <f t="shared" si="14"/>
        <v>#REF!</v>
      </c>
      <c r="D62" s="154" t="e">
        <f t="shared" si="9"/>
        <v>#REF!</v>
      </c>
      <c r="E62" s="122" t="e">
        <f t="shared" si="13"/>
        <v>#REF!</v>
      </c>
      <c r="F62" s="123" t="e">
        <f t="shared" si="10"/>
        <v>#REF!</v>
      </c>
      <c r="G62" s="124" t="e">
        <f t="shared" si="11"/>
        <v>#REF!</v>
      </c>
      <c r="H62" s="125" t="e">
        <f t="shared" si="12"/>
        <v>#REF!</v>
      </c>
      <c r="V62">
        <v>54</v>
      </c>
      <c r="W62">
        <f t="shared" si="4"/>
        <v>1.9205098129947689</v>
      </c>
      <c r="X62">
        <f t="shared" si="5"/>
        <v>2.3874352476042424</v>
      </c>
      <c r="Y62">
        <f t="shared" si="6"/>
        <v>2.24125</v>
      </c>
      <c r="Z62" s="64">
        <f t="shared" si="7"/>
        <v>0.37354166666666666</v>
      </c>
    </row>
    <row r="63" spans="1:26" ht="14.1" customHeight="1">
      <c r="A63" s="121">
        <v>20</v>
      </c>
      <c r="B63" s="89" t="e">
        <f t="shared" si="8"/>
        <v>#REF!</v>
      </c>
      <c r="C63" s="152" t="e">
        <f t="shared" si="14"/>
        <v>#REF!</v>
      </c>
      <c r="D63" s="154" t="e">
        <f t="shared" si="9"/>
        <v>#REF!</v>
      </c>
      <c r="E63" s="122" t="e">
        <f t="shared" si="13"/>
        <v>#REF!</v>
      </c>
      <c r="F63" s="123" t="e">
        <f t="shared" si="10"/>
        <v>#REF!</v>
      </c>
      <c r="G63" s="124" t="e">
        <f t="shared" si="11"/>
        <v>#REF!</v>
      </c>
      <c r="H63" s="125" t="e">
        <f t="shared" si="12"/>
        <v>#REF!</v>
      </c>
      <c r="V63">
        <v>55</v>
      </c>
      <c r="W63">
        <f t="shared" si="4"/>
        <v>1.9205098129947689</v>
      </c>
      <c r="X63">
        <f t="shared" si="5"/>
        <v>2.3874352476042424</v>
      </c>
      <c r="Y63">
        <f t="shared" si="6"/>
        <v>2.24125</v>
      </c>
      <c r="Z63" s="64">
        <f t="shared" si="7"/>
        <v>0.37354166666666666</v>
      </c>
    </row>
    <row r="64" spans="1:26" ht="14.1" customHeight="1">
      <c r="A64" s="121">
        <v>21</v>
      </c>
      <c r="B64" s="89" t="e">
        <f t="shared" si="8"/>
        <v>#REF!</v>
      </c>
      <c r="C64" s="152" t="e">
        <f t="shared" si="14"/>
        <v>#REF!</v>
      </c>
      <c r="D64" s="154" t="e">
        <f t="shared" si="9"/>
        <v>#REF!</v>
      </c>
      <c r="E64" s="122" t="e">
        <f t="shared" si="13"/>
        <v>#REF!</v>
      </c>
      <c r="F64" s="123" t="e">
        <f t="shared" si="10"/>
        <v>#REF!</v>
      </c>
      <c r="G64" s="124" t="e">
        <f t="shared" si="11"/>
        <v>#REF!</v>
      </c>
      <c r="H64" s="125" t="e">
        <f t="shared" si="12"/>
        <v>#REF!</v>
      </c>
      <c r="V64">
        <v>56</v>
      </c>
      <c r="W64">
        <f t="shared" si="4"/>
        <v>1.9205098129947689</v>
      </c>
      <c r="X64">
        <f t="shared" si="5"/>
        <v>2.3874352476042424</v>
      </c>
      <c r="Y64">
        <f t="shared" si="6"/>
        <v>2.24125</v>
      </c>
      <c r="Z64" s="64">
        <f t="shared" si="7"/>
        <v>0.37354166666666666</v>
      </c>
    </row>
    <row r="65" spans="1:26" ht="14.1" customHeight="1">
      <c r="A65" s="121">
        <v>22</v>
      </c>
      <c r="B65" s="89" t="e">
        <f t="shared" si="8"/>
        <v>#REF!</v>
      </c>
      <c r="C65" s="152" t="e">
        <f t="shared" si="14"/>
        <v>#REF!</v>
      </c>
      <c r="D65" s="154" t="e">
        <f t="shared" si="9"/>
        <v>#REF!</v>
      </c>
      <c r="E65" s="122" t="e">
        <f t="shared" si="13"/>
        <v>#REF!</v>
      </c>
      <c r="F65" s="123" t="e">
        <f t="shared" si="10"/>
        <v>#REF!</v>
      </c>
      <c r="G65" s="124" t="e">
        <f t="shared" si="11"/>
        <v>#REF!</v>
      </c>
      <c r="H65" s="125" t="e">
        <f t="shared" si="12"/>
        <v>#REF!</v>
      </c>
      <c r="V65">
        <v>57</v>
      </c>
      <c r="W65">
        <f t="shared" si="4"/>
        <v>1.9205098129947689</v>
      </c>
      <c r="X65">
        <f t="shared" si="5"/>
        <v>2.3874352476042424</v>
      </c>
      <c r="Y65">
        <f t="shared" si="6"/>
        <v>2.24125</v>
      </c>
      <c r="Z65" s="64">
        <f t="shared" si="7"/>
        <v>0.37354166666666666</v>
      </c>
    </row>
    <row r="66" spans="1:26" ht="14.1" customHeight="1">
      <c r="A66" s="121">
        <v>23</v>
      </c>
      <c r="B66" s="89" t="e">
        <f t="shared" si="8"/>
        <v>#REF!</v>
      </c>
      <c r="C66" s="152" t="e">
        <f t="shared" si="14"/>
        <v>#REF!</v>
      </c>
      <c r="D66" s="154" t="e">
        <f t="shared" si="9"/>
        <v>#REF!</v>
      </c>
      <c r="E66" s="122" t="e">
        <f t="shared" si="13"/>
        <v>#REF!</v>
      </c>
      <c r="F66" s="123" t="e">
        <f t="shared" si="10"/>
        <v>#REF!</v>
      </c>
      <c r="G66" s="124" t="e">
        <f t="shared" si="11"/>
        <v>#REF!</v>
      </c>
      <c r="H66" s="125" t="e">
        <f t="shared" si="12"/>
        <v>#REF!</v>
      </c>
      <c r="V66">
        <v>58</v>
      </c>
      <c r="W66">
        <f t="shared" si="4"/>
        <v>1.9205098129947689</v>
      </c>
      <c r="X66">
        <f t="shared" si="5"/>
        <v>2.3874352476042424</v>
      </c>
      <c r="Y66">
        <f t="shared" si="6"/>
        <v>2.24125</v>
      </c>
      <c r="Z66" s="64">
        <f t="shared" si="7"/>
        <v>0.37354166666666666</v>
      </c>
    </row>
    <row r="67" spans="1:26" ht="14.1" customHeight="1">
      <c r="A67" s="121">
        <v>24</v>
      </c>
      <c r="B67" s="89" t="e">
        <f t="shared" si="8"/>
        <v>#REF!</v>
      </c>
      <c r="C67" s="152" t="e">
        <f t="shared" si="14"/>
        <v>#REF!</v>
      </c>
      <c r="D67" s="154" t="e">
        <f t="shared" si="9"/>
        <v>#REF!</v>
      </c>
      <c r="E67" s="122" t="e">
        <f t="shared" si="13"/>
        <v>#REF!</v>
      </c>
      <c r="F67" s="123" t="e">
        <f t="shared" si="10"/>
        <v>#REF!</v>
      </c>
      <c r="G67" s="124" t="e">
        <f t="shared" si="11"/>
        <v>#REF!</v>
      </c>
      <c r="H67" s="125" t="e">
        <f t="shared" si="12"/>
        <v>#REF!</v>
      </c>
      <c r="V67">
        <v>59</v>
      </c>
      <c r="W67">
        <f t="shared" si="4"/>
        <v>1.9205098129947689</v>
      </c>
      <c r="X67">
        <f t="shared" si="5"/>
        <v>2.3874352476042424</v>
      </c>
      <c r="Y67">
        <f t="shared" si="6"/>
        <v>2.24125</v>
      </c>
      <c r="Z67" s="64">
        <f t="shared" si="7"/>
        <v>0.37354166666666666</v>
      </c>
    </row>
    <row r="68" spans="1:26" ht="14.1" customHeight="1">
      <c r="A68" s="121">
        <v>25</v>
      </c>
      <c r="B68" s="89" t="e">
        <f t="shared" si="8"/>
        <v>#REF!</v>
      </c>
      <c r="C68" s="152" t="e">
        <f t="shared" si="14"/>
        <v>#REF!</v>
      </c>
      <c r="D68" s="154" t="e">
        <f t="shared" si="9"/>
        <v>#REF!</v>
      </c>
      <c r="E68" s="122" t="e">
        <f t="shared" si="13"/>
        <v>#REF!</v>
      </c>
      <c r="F68" s="123" t="e">
        <f t="shared" si="10"/>
        <v>#REF!</v>
      </c>
      <c r="G68" s="124" t="e">
        <f t="shared" si="11"/>
        <v>#REF!</v>
      </c>
      <c r="H68" s="125" t="e">
        <f t="shared" si="12"/>
        <v>#REF!</v>
      </c>
      <c r="V68">
        <v>60</v>
      </c>
      <c r="W68">
        <f t="shared" si="4"/>
        <v>1.9205098129947689</v>
      </c>
      <c r="X68">
        <f t="shared" si="5"/>
        <v>2.3874352476042424</v>
      </c>
      <c r="Y68">
        <f t="shared" si="6"/>
        <v>2.24125</v>
      </c>
      <c r="Z68" s="64">
        <f t="shared" si="7"/>
        <v>0.37354166666666666</v>
      </c>
    </row>
    <row r="69" spans="1:26" ht="14.1" customHeight="1">
      <c r="A69" s="121">
        <v>26</v>
      </c>
      <c r="B69" s="89" t="e">
        <f t="shared" si="8"/>
        <v>#REF!</v>
      </c>
      <c r="C69" s="152" t="e">
        <f t="shared" si="14"/>
        <v>#REF!</v>
      </c>
      <c r="D69" s="154" t="e">
        <f t="shared" si="9"/>
        <v>#REF!</v>
      </c>
      <c r="E69" s="122" t="e">
        <f t="shared" si="13"/>
        <v>#REF!</v>
      </c>
      <c r="F69" s="123" t="e">
        <f t="shared" si="10"/>
        <v>#REF!</v>
      </c>
      <c r="G69" s="124" t="e">
        <f t="shared" si="11"/>
        <v>#REF!</v>
      </c>
      <c r="H69" s="125" t="e">
        <f t="shared" si="12"/>
        <v>#REF!</v>
      </c>
      <c r="V69">
        <v>61</v>
      </c>
      <c r="W69">
        <f t="shared" si="4"/>
        <v>1.9205098129947689</v>
      </c>
      <c r="X69">
        <f t="shared" si="5"/>
        <v>2.3874352476042424</v>
      </c>
      <c r="Y69">
        <f t="shared" si="6"/>
        <v>2.24125</v>
      </c>
      <c r="Z69" s="64">
        <f t="shared" si="7"/>
        <v>0.37354166666666666</v>
      </c>
    </row>
    <row r="70" spans="1:26" ht="14.1" customHeight="1">
      <c r="A70" s="121">
        <v>27</v>
      </c>
      <c r="B70" s="89" t="e">
        <f t="shared" si="8"/>
        <v>#REF!</v>
      </c>
      <c r="C70" s="152" t="e">
        <f t="shared" si="14"/>
        <v>#REF!</v>
      </c>
      <c r="D70" s="154" t="e">
        <f t="shared" si="9"/>
        <v>#REF!</v>
      </c>
      <c r="E70" s="122" t="e">
        <f t="shared" si="13"/>
        <v>#REF!</v>
      </c>
      <c r="F70" s="123" t="e">
        <f t="shared" si="10"/>
        <v>#REF!</v>
      </c>
      <c r="G70" s="124" t="e">
        <f t="shared" si="11"/>
        <v>#REF!</v>
      </c>
      <c r="H70" s="125" t="e">
        <f t="shared" si="12"/>
        <v>#REF!</v>
      </c>
      <c r="V70">
        <v>62</v>
      </c>
      <c r="W70">
        <f t="shared" si="4"/>
        <v>1.9205098129947689</v>
      </c>
      <c r="X70">
        <f t="shared" si="5"/>
        <v>2.3874352476042424</v>
      </c>
      <c r="Y70">
        <f t="shared" si="6"/>
        <v>2.24125</v>
      </c>
      <c r="Z70" s="64">
        <f t="shared" si="7"/>
        <v>0.37354166666666666</v>
      </c>
    </row>
    <row r="71" spans="1:26" ht="14.1" customHeight="1">
      <c r="A71" s="121">
        <v>28</v>
      </c>
      <c r="B71" s="89" t="e">
        <f t="shared" si="8"/>
        <v>#REF!</v>
      </c>
      <c r="C71" s="152" t="e">
        <f t="shared" si="14"/>
        <v>#REF!</v>
      </c>
      <c r="D71" s="154" t="e">
        <f t="shared" si="9"/>
        <v>#REF!</v>
      </c>
      <c r="E71" s="122" t="e">
        <f t="shared" si="13"/>
        <v>#REF!</v>
      </c>
      <c r="F71" s="123" t="e">
        <f t="shared" si="10"/>
        <v>#REF!</v>
      </c>
      <c r="G71" s="124" t="e">
        <f t="shared" si="11"/>
        <v>#REF!</v>
      </c>
      <c r="H71" s="125" t="e">
        <f t="shared" si="12"/>
        <v>#REF!</v>
      </c>
      <c r="V71">
        <v>63</v>
      </c>
      <c r="W71">
        <f t="shared" si="4"/>
        <v>1.9205098129947689</v>
      </c>
      <c r="X71">
        <f t="shared" si="5"/>
        <v>2.3874352476042424</v>
      </c>
      <c r="Y71">
        <f t="shared" si="6"/>
        <v>2.24125</v>
      </c>
      <c r="Z71" s="64">
        <f t="shared" si="7"/>
        <v>0.37354166666666666</v>
      </c>
    </row>
    <row r="72" spans="1:26" ht="14.1" customHeight="1">
      <c r="A72" s="121">
        <v>29</v>
      </c>
      <c r="B72" s="89" t="e">
        <f t="shared" si="8"/>
        <v>#REF!</v>
      </c>
      <c r="C72" s="152" t="e">
        <f t="shared" si="14"/>
        <v>#REF!</v>
      </c>
      <c r="D72" s="154" t="e">
        <f t="shared" si="9"/>
        <v>#REF!</v>
      </c>
      <c r="E72" s="122" t="e">
        <f t="shared" si="13"/>
        <v>#REF!</v>
      </c>
      <c r="F72" s="123" t="e">
        <f t="shared" si="10"/>
        <v>#REF!</v>
      </c>
      <c r="G72" s="124" t="e">
        <f t="shared" si="11"/>
        <v>#REF!</v>
      </c>
      <c r="H72" s="125" t="e">
        <f t="shared" si="12"/>
        <v>#REF!</v>
      </c>
      <c r="V72">
        <v>64</v>
      </c>
      <c r="W72">
        <f t="shared" ref="W72:W128" si="15">$B$36</f>
        <v>1.9205098129947689</v>
      </c>
      <c r="X72">
        <f t="shared" ref="X72:X128" si="16">$B$37</f>
        <v>2.3874352476042424</v>
      </c>
      <c r="Y72">
        <f t="shared" si="6"/>
        <v>2.24125</v>
      </c>
      <c r="Z72" s="64">
        <f t="shared" si="7"/>
        <v>0.37354166666666666</v>
      </c>
    </row>
    <row r="73" spans="1:26" ht="14.1" customHeight="1">
      <c r="A73" s="121">
        <v>30</v>
      </c>
      <c r="B73" s="89" t="e">
        <f t="shared" ref="B73:B104" si="17">$B$4/$B$12*A73</f>
        <v>#REF!</v>
      </c>
      <c r="C73" s="152" t="e">
        <f t="shared" si="14"/>
        <v>#REF!</v>
      </c>
      <c r="D73" s="154" t="e">
        <f t="shared" ref="D73:D104" si="18">IF(B73&lt;$B$26/12,1/2*($B$11-$B$11*($B$26/12)/$B$4)*($B$4-($B$26/12)),1/2*($B$11-$B$11*B73/$B$4)*($B$4-B73))</f>
        <v>#REF!</v>
      </c>
      <c r="E73" s="122" t="e">
        <f t="shared" si="13"/>
        <v>#REF!</v>
      </c>
      <c r="F73" s="123" t="e">
        <f t="shared" si="10"/>
        <v>#REF!</v>
      </c>
      <c r="G73" s="124" t="e">
        <f t="shared" si="11"/>
        <v>#REF!</v>
      </c>
      <c r="H73" s="125" t="e">
        <f t="shared" si="12"/>
        <v>#REF!</v>
      </c>
      <c r="V73">
        <v>65</v>
      </c>
      <c r="W73">
        <f t="shared" si="15"/>
        <v>1.9205098129947689</v>
      </c>
      <c r="X73">
        <f t="shared" si="16"/>
        <v>2.3874352476042424</v>
      </c>
      <c r="Y73">
        <f t="shared" ref="Y73:Y128" si="19">$B$26/2</f>
        <v>2.24125</v>
      </c>
      <c r="Z73" s="64">
        <f t="shared" ref="Z73:Z128" si="20">$B$26/12</f>
        <v>0.37354166666666666</v>
      </c>
    </row>
    <row r="74" spans="1:26" ht="14.1" customHeight="1">
      <c r="A74" s="121">
        <v>31</v>
      </c>
      <c r="B74" s="89" t="e">
        <f t="shared" si="17"/>
        <v>#REF!</v>
      </c>
      <c r="C74" s="152" t="e">
        <f t="shared" si="14"/>
        <v>#REF!</v>
      </c>
      <c r="D74" s="154" t="e">
        <f t="shared" si="18"/>
        <v>#REF!</v>
      </c>
      <c r="E74" s="122" t="e">
        <f t="shared" si="13"/>
        <v>#REF!</v>
      </c>
      <c r="F74" s="123" t="e">
        <f t="shared" si="10"/>
        <v>#REF!</v>
      </c>
      <c r="G74" s="124" t="e">
        <f t="shared" si="11"/>
        <v>#REF!</v>
      </c>
      <c r="H74" s="125" t="e">
        <f t="shared" si="12"/>
        <v>#REF!</v>
      </c>
      <c r="V74">
        <v>66</v>
      </c>
      <c r="W74">
        <f t="shared" si="15"/>
        <v>1.9205098129947689</v>
      </c>
      <c r="X74">
        <f t="shared" si="16"/>
        <v>2.3874352476042424</v>
      </c>
      <c r="Y74">
        <f t="shared" si="19"/>
        <v>2.24125</v>
      </c>
      <c r="Z74" s="64">
        <f t="shared" si="20"/>
        <v>0.37354166666666666</v>
      </c>
    </row>
    <row r="75" spans="1:26" ht="14.1" customHeight="1">
      <c r="A75" s="121">
        <v>32</v>
      </c>
      <c r="B75" s="89" t="e">
        <f t="shared" si="17"/>
        <v>#REF!</v>
      </c>
      <c r="C75" s="152" t="e">
        <f t="shared" si="14"/>
        <v>#REF!</v>
      </c>
      <c r="D75" s="154" t="e">
        <f t="shared" si="18"/>
        <v>#REF!</v>
      </c>
      <c r="E75" s="122" t="e">
        <f t="shared" si="13"/>
        <v>#REF!</v>
      </c>
      <c r="F75" s="123" t="e">
        <f t="shared" ref="F75:F106" si="21">0.75*B$33*$B$15*$B$26/$E75</f>
        <v>#REF!</v>
      </c>
      <c r="G75" s="124" t="e">
        <f t="shared" ref="G75:G106" si="22">0.75*C$33*$B$15*$B$26/$E75</f>
        <v>#REF!</v>
      </c>
      <c r="H75" s="125" t="e">
        <f t="shared" ref="H75:H106" si="23">0.75*D$33*$B$15*$B$26/$E75</f>
        <v>#REF!</v>
      </c>
      <c r="V75">
        <v>67</v>
      </c>
      <c r="W75">
        <f t="shared" si="15"/>
        <v>1.9205098129947689</v>
      </c>
      <c r="X75">
        <f t="shared" si="16"/>
        <v>2.3874352476042424</v>
      </c>
      <c r="Y75">
        <f t="shared" si="19"/>
        <v>2.24125</v>
      </c>
      <c r="Z75" s="64">
        <f t="shared" si="20"/>
        <v>0.37354166666666666</v>
      </c>
    </row>
    <row r="76" spans="1:26" ht="14.1" customHeight="1">
      <c r="A76" s="121">
        <v>33</v>
      </c>
      <c r="B76" s="89" t="e">
        <f t="shared" si="17"/>
        <v>#REF!</v>
      </c>
      <c r="C76" s="152" t="e">
        <f t="shared" si="14"/>
        <v>#REF!</v>
      </c>
      <c r="D76" s="154" t="e">
        <f t="shared" si="18"/>
        <v>#REF!</v>
      </c>
      <c r="E76" s="122" t="e">
        <f t="shared" si="13"/>
        <v>#REF!</v>
      </c>
      <c r="F76" s="123" t="e">
        <f t="shared" si="21"/>
        <v>#REF!</v>
      </c>
      <c r="G76" s="124" t="e">
        <f t="shared" si="22"/>
        <v>#REF!</v>
      </c>
      <c r="H76" s="125" t="e">
        <f t="shared" si="23"/>
        <v>#REF!</v>
      </c>
      <c r="V76">
        <v>68</v>
      </c>
      <c r="W76">
        <f t="shared" si="15"/>
        <v>1.9205098129947689</v>
      </c>
      <c r="X76">
        <f t="shared" si="16"/>
        <v>2.3874352476042424</v>
      </c>
      <c r="Y76">
        <f t="shared" si="19"/>
        <v>2.24125</v>
      </c>
      <c r="Z76" s="64">
        <f t="shared" si="20"/>
        <v>0.37354166666666666</v>
      </c>
    </row>
    <row r="77" spans="1:26" ht="14.1" customHeight="1">
      <c r="A77" s="121">
        <v>34</v>
      </c>
      <c r="B77" s="89" t="e">
        <f t="shared" si="17"/>
        <v>#REF!</v>
      </c>
      <c r="C77" s="152" t="e">
        <f t="shared" si="14"/>
        <v>#REF!</v>
      </c>
      <c r="D77" s="154" t="e">
        <f t="shared" si="18"/>
        <v>#REF!</v>
      </c>
      <c r="E77" s="122" t="e">
        <f t="shared" si="13"/>
        <v>#REF!</v>
      </c>
      <c r="F77" s="123" t="e">
        <f t="shared" si="21"/>
        <v>#REF!</v>
      </c>
      <c r="G77" s="124" t="e">
        <f t="shared" si="22"/>
        <v>#REF!</v>
      </c>
      <c r="H77" s="125" t="e">
        <f t="shared" si="23"/>
        <v>#REF!</v>
      </c>
      <c r="V77">
        <v>69</v>
      </c>
      <c r="W77">
        <f t="shared" si="15"/>
        <v>1.9205098129947689</v>
      </c>
      <c r="X77">
        <f t="shared" si="16"/>
        <v>2.3874352476042424</v>
      </c>
      <c r="Y77">
        <f t="shared" si="19"/>
        <v>2.24125</v>
      </c>
      <c r="Z77" s="64">
        <f t="shared" si="20"/>
        <v>0.37354166666666666</v>
      </c>
    </row>
    <row r="78" spans="1:26" ht="14.1" customHeight="1">
      <c r="A78" s="121">
        <v>35</v>
      </c>
      <c r="B78" s="89" t="e">
        <f t="shared" si="17"/>
        <v>#REF!</v>
      </c>
      <c r="C78" s="152" t="e">
        <f t="shared" si="14"/>
        <v>#REF!</v>
      </c>
      <c r="D78" s="154" t="e">
        <f t="shared" si="18"/>
        <v>#REF!</v>
      </c>
      <c r="E78" s="122" t="e">
        <f t="shared" si="13"/>
        <v>#REF!</v>
      </c>
      <c r="F78" s="123" t="e">
        <f t="shared" si="21"/>
        <v>#REF!</v>
      </c>
      <c r="G78" s="124" t="e">
        <f t="shared" si="22"/>
        <v>#REF!</v>
      </c>
      <c r="H78" s="125" t="e">
        <f t="shared" si="23"/>
        <v>#REF!</v>
      </c>
      <c r="V78">
        <v>70</v>
      </c>
      <c r="W78">
        <f t="shared" si="15"/>
        <v>1.9205098129947689</v>
      </c>
      <c r="X78">
        <f t="shared" si="16"/>
        <v>2.3874352476042424</v>
      </c>
      <c r="Y78">
        <f t="shared" si="19"/>
        <v>2.24125</v>
      </c>
      <c r="Z78" s="64">
        <f t="shared" si="20"/>
        <v>0.37354166666666666</v>
      </c>
    </row>
    <row r="79" spans="1:26" ht="14.1" customHeight="1">
      <c r="A79" s="121">
        <v>36</v>
      </c>
      <c r="B79" s="89" t="e">
        <f t="shared" si="17"/>
        <v>#REF!</v>
      </c>
      <c r="C79" s="152" t="e">
        <f t="shared" si="14"/>
        <v>#REF!</v>
      </c>
      <c r="D79" s="154" t="e">
        <f t="shared" si="18"/>
        <v>#REF!</v>
      </c>
      <c r="E79" s="122" t="e">
        <f t="shared" si="13"/>
        <v>#REF!</v>
      </c>
      <c r="F79" s="123" t="e">
        <f t="shared" si="21"/>
        <v>#REF!</v>
      </c>
      <c r="G79" s="124" t="e">
        <f t="shared" si="22"/>
        <v>#REF!</v>
      </c>
      <c r="H79" s="125" t="e">
        <f t="shared" si="23"/>
        <v>#REF!</v>
      </c>
      <c r="V79">
        <v>71</v>
      </c>
      <c r="W79">
        <f t="shared" si="15"/>
        <v>1.9205098129947689</v>
      </c>
      <c r="X79">
        <f t="shared" si="16"/>
        <v>2.3874352476042424</v>
      </c>
      <c r="Y79">
        <f t="shared" si="19"/>
        <v>2.24125</v>
      </c>
      <c r="Z79" s="64">
        <f t="shared" si="20"/>
        <v>0.37354166666666666</v>
      </c>
    </row>
    <row r="80" spans="1:26" ht="14.1" customHeight="1">
      <c r="A80" s="121">
        <v>37</v>
      </c>
      <c r="B80" s="89" t="e">
        <f t="shared" si="17"/>
        <v>#REF!</v>
      </c>
      <c r="C80" s="152" t="e">
        <f t="shared" si="14"/>
        <v>#REF!</v>
      </c>
      <c r="D80" s="154" t="e">
        <f t="shared" si="18"/>
        <v>#REF!</v>
      </c>
      <c r="E80" s="122" t="e">
        <f t="shared" si="13"/>
        <v>#REF!</v>
      </c>
      <c r="F80" s="123" t="e">
        <f t="shared" si="21"/>
        <v>#REF!</v>
      </c>
      <c r="G80" s="124" t="e">
        <f t="shared" si="22"/>
        <v>#REF!</v>
      </c>
      <c r="H80" s="125" t="e">
        <f t="shared" si="23"/>
        <v>#REF!</v>
      </c>
      <c r="V80">
        <v>72</v>
      </c>
      <c r="W80">
        <f t="shared" si="15"/>
        <v>1.9205098129947689</v>
      </c>
      <c r="X80">
        <f t="shared" si="16"/>
        <v>2.3874352476042424</v>
      </c>
      <c r="Y80">
        <f t="shared" si="19"/>
        <v>2.24125</v>
      </c>
      <c r="Z80" s="64">
        <f t="shared" si="20"/>
        <v>0.37354166666666666</v>
      </c>
    </row>
    <row r="81" spans="1:26" ht="14.1" customHeight="1">
      <c r="A81" s="121">
        <v>38</v>
      </c>
      <c r="B81" s="89" t="e">
        <f t="shared" si="17"/>
        <v>#REF!</v>
      </c>
      <c r="C81" s="152" t="e">
        <f t="shared" si="14"/>
        <v>#REF!</v>
      </c>
      <c r="D81" s="154" t="e">
        <f t="shared" si="18"/>
        <v>#REF!</v>
      </c>
      <c r="E81" s="122" t="e">
        <f t="shared" si="13"/>
        <v>#REF!</v>
      </c>
      <c r="F81" s="123" t="e">
        <f t="shared" si="21"/>
        <v>#REF!</v>
      </c>
      <c r="G81" s="124" t="e">
        <f t="shared" si="22"/>
        <v>#REF!</v>
      </c>
      <c r="H81" s="125" t="e">
        <f t="shared" si="23"/>
        <v>#REF!</v>
      </c>
      <c r="V81">
        <v>73</v>
      </c>
      <c r="W81">
        <f t="shared" si="15"/>
        <v>1.9205098129947689</v>
      </c>
      <c r="X81">
        <f t="shared" si="16"/>
        <v>2.3874352476042424</v>
      </c>
      <c r="Y81">
        <f t="shared" si="19"/>
        <v>2.24125</v>
      </c>
      <c r="Z81" s="64">
        <f t="shared" si="20"/>
        <v>0.37354166666666666</v>
      </c>
    </row>
    <row r="82" spans="1:26" ht="14.1" customHeight="1">
      <c r="A82" s="121">
        <v>39</v>
      </c>
      <c r="B82" s="89" t="e">
        <f t="shared" si="17"/>
        <v>#REF!</v>
      </c>
      <c r="C82" s="152" t="e">
        <f t="shared" si="14"/>
        <v>#REF!</v>
      </c>
      <c r="D82" s="154" t="e">
        <f t="shared" si="18"/>
        <v>#REF!</v>
      </c>
      <c r="E82" s="122" t="e">
        <f t="shared" si="13"/>
        <v>#REF!</v>
      </c>
      <c r="F82" s="123" t="e">
        <f t="shared" si="21"/>
        <v>#REF!</v>
      </c>
      <c r="G82" s="124" t="e">
        <f t="shared" si="22"/>
        <v>#REF!</v>
      </c>
      <c r="H82" s="125" t="e">
        <f t="shared" si="23"/>
        <v>#REF!</v>
      </c>
      <c r="V82">
        <v>74</v>
      </c>
      <c r="W82">
        <f t="shared" si="15"/>
        <v>1.9205098129947689</v>
      </c>
      <c r="X82">
        <f t="shared" si="16"/>
        <v>2.3874352476042424</v>
      </c>
      <c r="Y82">
        <f t="shared" si="19"/>
        <v>2.24125</v>
      </c>
      <c r="Z82" s="64">
        <f t="shared" si="20"/>
        <v>0.37354166666666666</v>
      </c>
    </row>
    <row r="83" spans="1:26">
      <c r="A83" s="121">
        <v>40</v>
      </c>
      <c r="B83" s="89" t="e">
        <f t="shared" si="17"/>
        <v>#REF!</v>
      </c>
      <c r="C83" s="152" t="e">
        <f t="shared" si="14"/>
        <v>#REF!</v>
      </c>
      <c r="D83" s="154" t="e">
        <f t="shared" si="18"/>
        <v>#REF!</v>
      </c>
      <c r="E83" s="122" t="e">
        <f t="shared" si="13"/>
        <v>#REF!</v>
      </c>
      <c r="F83" s="123" t="e">
        <f t="shared" si="21"/>
        <v>#REF!</v>
      </c>
      <c r="G83" s="124" t="e">
        <f t="shared" si="22"/>
        <v>#REF!</v>
      </c>
      <c r="H83" s="125" t="e">
        <f t="shared" si="23"/>
        <v>#REF!</v>
      </c>
      <c r="V83">
        <v>75</v>
      </c>
      <c r="W83">
        <f t="shared" si="15"/>
        <v>1.9205098129947689</v>
      </c>
      <c r="X83">
        <f t="shared" si="16"/>
        <v>2.3874352476042424</v>
      </c>
      <c r="Y83">
        <f t="shared" si="19"/>
        <v>2.24125</v>
      </c>
      <c r="Z83" s="64">
        <f t="shared" si="20"/>
        <v>0.37354166666666666</v>
      </c>
    </row>
    <row r="84" spans="1:26">
      <c r="A84" s="121">
        <v>41</v>
      </c>
      <c r="B84" s="89" t="e">
        <f t="shared" si="17"/>
        <v>#REF!</v>
      </c>
      <c r="C84" s="152" t="e">
        <f t="shared" si="14"/>
        <v>#REF!</v>
      </c>
      <c r="D84" s="154" t="e">
        <f t="shared" si="18"/>
        <v>#REF!</v>
      </c>
      <c r="E84" s="122" t="e">
        <f t="shared" si="13"/>
        <v>#REF!</v>
      </c>
      <c r="F84" s="123" t="e">
        <f t="shared" si="21"/>
        <v>#REF!</v>
      </c>
      <c r="G84" s="124" t="e">
        <f t="shared" si="22"/>
        <v>#REF!</v>
      </c>
      <c r="H84" s="125" t="e">
        <f t="shared" si="23"/>
        <v>#REF!</v>
      </c>
      <c r="V84">
        <v>76</v>
      </c>
      <c r="W84">
        <f t="shared" si="15"/>
        <v>1.9205098129947689</v>
      </c>
      <c r="X84">
        <f t="shared" si="16"/>
        <v>2.3874352476042424</v>
      </c>
      <c r="Y84">
        <f t="shared" si="19"/>
        <v>2.24125</v>
      </c>
      <c r="Z84" s="64">
        <f t="shared" si="20"/>
        <v>0.37354166666666666</v>
      </c>
    </row>
    <row r="85" spans="1:26">
      <c r="A85" s="121">
        <v>42</v>
      </c>
      <c r="B85" s="89" t="e">
        <f t="shared" si="17"/>
        <v>#REF!</v>
      </c>
      <c r="C85" s="152" t="e">
        <f t="shared" si="14"/>
        <v>#REF!</v>
      </c>
      <c r="D85" s="154" t="e">
        <f t="shared" si="18"/>
        <v>#REF!</v>
      </c>
      <c r="E85" s="122" t="e">
        <f t="shared" si="13"/>
        <v>#REF!</v>
      </c>
      <c r="F85" s="123" t="e">
        <f t="shared" si="21"/>
        <v>#REF!</v>
      </c>
      <c r="G85" s="124" t="e">
        <f t="shared" si="22"/>
        <v>#REF!</v>
      </c>
      <c r="H85" s="125" t="e">
        <f t="shared" si="23"/>
        <v>#REF!</v>
      </c>
      <c r="V85">
        <v>77</v>
      </c>
      <c r="W85">
        <f t="shared" si="15"/>
        <v>1.9205098129947689</v>
      </c>
      <c r="X85">
        <f t="shared" si="16"/>
        <v>2.3874352476042424</v>
      </c>
      <c r="Y85">
        <f t="shared" si="19"/>
        <v>2.24125</v>
      </c>
      <c r="Z85" s="64">
        <f t="shared" si="20"/>
        <v>0.37354166666666666</v>
      </c>
    </row>
    <row r="86" spans="1:26">
      <c r="A86" s="121">
        <v>43</v>
      </c>
      <c r="B86" s="89" t="e">
        <f t="shared" si="17"/>
        <v>#REF!</v>
      </c>
      <c r="C86" s="152" t="e">
        <f t="shared" si="14"/>
        <v>#REF!</v>
      </c>
      <c r="D86" s="154" t="e">
        <f t="shared" si="18"/>
        <v>#REF!</v>
      </c>
      <c r="E86" s="122" t="e">
        <f t="shared" si="13"/>
        <v>#REF!</v>
      </c>
      <c r="F86" s="123" t="e">
        <f t="shared" si="21"/>
        <v>#REF!</v>
      </c>
      <c r="G86" s="124" t="e">
        <f t="shared" si="22"/>
        <v>#REF!</v>
      </c>
      <c r="H86" s="125" t="e">
        <f t="shared" si="23"/>
        <v>#REF!</v>
      </c>
      <c r="V86">
        <v>78</v>
      </c>
      <c r="W86">
        <f t="shared" si="15"/>
        <v>1.9205098129947689</v>
      </c>
      <c r="X86">
        <f t="shared" si="16"/>
        <v>2.3874352476042424</v>
      </c>
      <c r="Y86">
        <f t="shared" si="19"/>
        <v>2.24125</v>
      </c>
      <c r="Z86" s="64">
        <f t="shared" si="20"/>
        <v>0.37354166666666666</v>
      </c>
    </row>
    <row r="87" spans="1:26">
      <c r="A87" s="121">
        <v>44</v>
      </c>
      <c r="B87" s="89" t="e">
        <f t="shared" si="17"/>
        <v>#REF!</v>
      </c>
      <c r="C87" s="152" t="e">
        <f t="shared" si="14"/>
        <v>#REF!</v>
      </c>
      <c r="D87" s="154" t="e">
        <f t="shared" si="18"/>
        <v>#REF!</v>
      </c>
      <c r="E87" s="122" t="e">
        <f t="shared" si="13"/>
        <v>#REF!</v>
      </c>
      <c r="F87" s="123" t="e">
        <f t="shared" si="21"/>
        <v>#REF!</v>
      </c>
      <c r="G87" s="124" t="e">
        <f t="shared" si="22"/>
        <v>#REF!</v>
      </c>
      <c r="H87" s="125" t="e">
        <f t="shared" si="23"/>
        <v>#REF!</v>
      </c>
      <c r="V87">
        <v>79</v>
      </c>
      <c r="W87">
        <f t="shared" si="15"/>
        <v>1.9205098129947689</v>
      </c>
      <c r="X87">
        <f t="shared" si="16"/>
        <v>2.3874352476042424</v>
      </c>
      <c r="Y87">
        <f t="shared" si="19"/>
        <v>2.24125</v>
      </c>
      <c r="Z87" s="64">
        <f t="shared" si="20"/>
        <v>0.37354166666666666</v>
      </c>
    </row>
    <row r="88" spans="1:26">
      <c r="A88" s="121">
        <v>45</v>
      </c>
      <c r="B88" s="89" t="e">
        <f t="shared" si="17"/>
        <v>#REF!</v>
      </c>
      <c r="C88" s="152" t="e">
        <f t="shared" si="14"/>
        <v>#REF!</v>
      </c>
      <c r="D88" s="154" t="e">
        <f t="shared" si="18"/>
        <v>#REF!</v>
      </c>
      <c r="E88" s="122" t="e">
        <f t="shared" si="13"/>
        <v>#REF!</v>
      </c>
      <c r="F88" s="123" t="e">
        <f t="shared" si="21"/>
        <v>#REF!</v>
      </c>
      <c r="G88" s="124" t="e">
        <f t="shared" si="22"/>
        <v>#REF!</v>
      </c>
      <c r="H88" s="125" t="e">
        <f t="shared" si="23"/>
        <v>#REF!</v>
      </c>
      <c r="V88">
        <v>80</v>
      </c>
      <c r="W88">
        <f t="shared" si="15"/>
        <v>1.9205098129947689</v>
      </c>
      <c r="X88">
        <f t="shared" si="16"/>
        <v>2.3874352476042424</v>
      </c>
      <c r="Y88">
        <f t="shared" si="19"/>
        <v>2.24125</v>
      </c>
      <c r="Z88" s="64">
        <f t="shared" si="20"/>
        <v>0.37354166666666666</v>
      </c>
    </row>
    <row r="89" spans="1:26">
      <c r="A89" s="121">
        <v>46</v>
      </c>
      <c r="B89" s="89" t="e">
        <f t="shared" si="17"/>
        <v>#REF!</v>
      </c>
      <c r="C89" s="152" t="e">
        <f t="shared" si="14"/>
        <v>#REF!</v>
      </c>
      <c r="D89" s="154" t="e">
        <f t="shared" si="18"/>
        <v>#REF!</v>
      </c>
      <c r="E89" s="122" t="e">
        <f t="shared" si="13"/>
        <v>#REF!</v>
      </c>
      <c r="F89" s="123" t="e">
        <f t="shared" si="21"/>
        <v>#REF!</v>
      </c>
      <c r="G89" s="124" t="e">
        <f t="shared" si="22"/>
        <v>#REF!</v>
      </c>
      <c r="H89" s="125" t="e">
        <f t="shared" si="23"/>
        <v>#REF!</v>
      </c>
      <c r="V89">
        <v>81</v>
      </c>
      <c r="W89">
        <f t="shared" si="15"/>
        <v>1.9205098129947689</v>
      </c>
      <c r="X89">
        <f t="shared" si="16"/>
        <v>2.3874352476042424</v>
      </c>
      <c r="Y89">
        <f t="shared" si="19"/>
        <v>2.24125</v>
      </c>
      <c r="Z89" s="64">
        <f t="shared" si="20"/>
        <v>0.37354166666666666</v>
      </c>
    </row>
    <row r="90" spans="1:26" ht="15.75" thickBot="1">
      <c r="A90" s="126">
        <v>47</v>
      </c>
      <c r="B90" s="127" t="e">
        <f t="shared" si="17"/>
        <v>#REF!</v>
      </c>
      <c r="C90" s="157" t="e">
        <f t="shared" si="14"/>
        <v>#REF!</v>
      </c>
      <c r="D90" s="155" t="e">
        <f t="shared" si="18"/>
        <v>#REF!</v>
      </c>
      <c r="E90" s="128" t="e">
        <f t="shared" si="13"/>
        <v>#REF!</v>
      </c>
      <c r="F90" s="94" t="e">
        <f t="shared" si="21"/>
        <v>#REF!</v>
      </c>
      <c r="G90" s="95" t="e">
        <f t="shared" si="22"/>
        <v>#REF!</v>
      </c>
      <c r="H90" s="129" t="e">
        <f t="shared" si="23"/>
        <v>#REF!</v>
      </c>
      <c r="V90">
        <v>82</v>
      </c>
      <c r="W90">
        <f t="shared" si="15"/>
        <v>1.9205098129947689</v>
      </c>
      <c r="X90">
        <f t="shared" si="16"/>
        <v>2.3874352476042424</v>
      </c>
      <c r="Y90">
        <f t="shared" si="19"/>
        <v>2.24125</v>
      </c>
      <c r="Z90" s="64">
        <f t="shared" si="20"/>
        <v>0.37354166666666666</v>
      </c>
    </row>
    <row r="91" spans="1:26" ht="15.75" thickTop="1">
      <c r="A91">
        <v>48</v>
      </c>
      <c r="B91" t="e">
        <f t="shared" si="17"/>
        <v>#REF!</v>
      </c>
      <c r="C91" s="156" t="e">
        <f>1/2*($B$11-$B$11*B91/$B$4)*($B$4-B91)</f>
        <v>#REF!</v>
      </c>
      <c r="D91" s="156" t="e">
        <f t="shared" si="18"/>
        <v>#REF!</v>
      </c>
      <c r="E91" s="64" t="e">
        <f t="shared" si="13"/>
        <v>#REF!</v>
      </c>
      <c r="F91" s="64" t="e">
        <f t="shared" si="21"/>
        <v>#REF!</v>
      </c>
      <c r="G91" s="64" t="e">
        <f t="shared" si="22"/>
        <v>#REF!</v>
      </c>
      <c r="H91" s="64" t="e">
        <f t="shared" si="23"/>
        <v>#REF!</v>
      </c>
      <c r="V91">
        <v>83</v>
      </c>
      <c r="W91">
        <f t="shared" si="15"/>
        <v>1.9205098129947689</v>
      </c>
      <c r="X91">
        <f t="shared" si="16"/>
        <v>2.3874352476042424</v>
      </c>
      <c r="Y91">
        <f t="shared" si="19"/>
        <v>2.24125</v>
      </c>
      <c r="Z91" s="64">
        <f t="shared" si="20"/>
        <v>0.37354166666666666</v>
      </c>
    </row>
    <row r="92" spans="1:26">
      <c r="A92">
        <v>49</v>
      </c>
      <c r="B92" t="e">
        <f t="shared" si="17"/>
        <v>#REF!</v>
      </c>
      <c r="C92" s="153" t="e">
        <f>1/2*($B$11-$B$11*B92/$B$4)*($B$4-B92)</f>
        <v>#REF!</v>
      </c>
      <c r="D92" s="153" t="e">
        <f t="shared" si="18"/>
        <v>#REF!</v>
      </c>
      <c r="E92" s="64" t="e">
        <f t="shared" si="13"/>
        <v>#REF!</v>
      </c>
      <c r="F92" s="64" t="e">
        <f t="shared" si="21"/>
        <v>#REF!</v>
      </c>
      <c r="G92" s="64" t="e">
        <f t="shared" si="22"/>
        <v>#REF!</v>
      </c>
      <c r="H92" s="64" t="e">
        <f t="shared" si="23"/>
        <v>#REF!</v>
      </c>
      <c r="V92">
        <v>84</v>
      </c>
      <c r="W92">
        <f t="shared" si="15"/>
        <v>1.9205098129947689</v>
      </c>
      <c r="X92">
        <f t="shared" si="16"/>
        <v>2.3874352476042424</v>
      </c>
      <c r="Y92">
        <f t="shared" si="19"/>
        <v>2.24125</v>
      </c>
      <c r="Z92" s="64">
        <f t="shared" si="20"/>
        <v>0.37354166666666666</v>
      </c>
    </row>
    <row r="93" spans="1:26">
      <c r="A93">
        <v>50</v>
      </c>
      <c r="B93" t="e">
        <f t="shared" si="17"/>
        <v>#REF!</v>
      </c>
      <c r="C93" s="153" t="e">
        <f t="shared" ref="C93:C143" si="24">1/2*($B$11-$B$11*B93/$B$4)*($B$4-B93)</f>
        <v>#REF!</v>
      </c>
      <c r="D93" s="153" t="e">
        <f t="shared" si="18"/>
        <v>#REF!</v>
      </c>
      <c r="E93" s="64" t="e">
        <f t="shared" si="13"/>
        <v>#REF!</v>
      </c>
      <c r="F93" s="64" t="e">
        <f t="shared" si="21"/>
        <v>#REF!</v>
      </c>
      <c r="G93" s="64" t="e">
        <f t="shared" si="22"/>
        <v>#REF!</v>
      </c>
      <c r="H93" s="64" t="e">
        <f t="shared" si="23"/>
        <v>#REF!</v>
      </c>
      <c r="V93">
        <v>85</v>
      </c>
      <c r="W93">
        <f t="shared" si="15"/>
        <v>1.9205098129947689</v>
      </c>
      <c r="X93">
        <f t="shared" si="16"/>
        <v>2.3874352476042424</v>
      </c>
      <c r="Y93">
        <f t="shared" si="19"/>
        <v>2.24125</v>
      </c>
      <c r="Z93" s="64">
        <f t="shared" si="20"/>
        <v>0.37354166666666666</v>
      </c>
    </row>
    <row r="94" spans="1:26">
      <c r="A94">
        <v>51</v>
      </c>
      <c r="B94" t="e">
        <f t="shared" si="17"/>
        <v>#REF!</v>
      </c>
      <c r="C94" s="153" t="e">
        <f t="shared" si="24"/>
        <v>#REF!</v>
      </c>
      <c r="D94" s="153" t="e">
        <f t="shared" si="18"/>
        <v>#REF!</v>
      </c>
      <c r="E94" s="64" t="e">
        <f t="shared" si="13"/>
        <v>#REF!</v>
      </c>
      <c r="F94" s="64" t="e">
        <f t="shared" si="21"/>
        <v>#REF!</v>
      </c>
      <c r="G94" s="64" t="e">
        <f t="shared" si="22"/>
        <v>#REF!</v>
      </c>
      <c r="H94" s="64" t="e">
        <f t="shared" si="23"/>
        <v>#REF!</v>
      </c>
      <c r="V94">
        <v>86</v>
      </c>
      <c r="W94">
        <f t="shared" si="15"/>
        <v>1.9205098129947689</v>
      </c>
      <c r="X94">
        <f t="shared" si="16"/>
        <v>2.3874352476042424</v>
      </c>
      <c r="Y94">
        <f t="shared" si="19"/>
        <v>2.24125</v>
      </c>
      <c r="Z94" s="64">
        <f t="shared" si="20"/>
        <v>0.37354166666666666</v>
      </c>
    </row>
    <row r="95" spans="1:26">
      <c r="A95">
        <v>52</v>
      </c>
      <c r="B95" t="e">
        <f t="shared" si="17"/>
        <v>#REF!</v>
      </c>
      <c r="C95" s="153" t="e">
        <f t="shared" si="24"/>
        <v>#REF!</v>
      </c>
      <c r="D95" s="153" t="e">
        <f t="shared" si="18"/>
        <v>#REF!</v>
      </c>
      <c r="E95" s="64" t="e">
        <f t="shared" si="13"/>
        <v>#REF!</v>
      </c>
      <c r="F95" s="64" t="e">
        <f t="shared" si="21"/>
        <v>#REF!</v>
      </c>
      <c r="G95" s="64" t="e">
        <f t="shared" si="22"/>
        <v>#REF!</v>
      </c>
      <c r="H95" s="64" t="e">
        <f t="shared" si="23"/>
        <v>#REF!</v>
      </c>
      <c r="V95">
        <v>87</v>
      </c>
      <c r="W95">
        <f t="shared" si="15"/>
        <v>1.9205098129947689</v>
      </c>
      <c r="X95">
        <f t="shared" si="16"/>
        <v>2.3874352476042424</v>
      </c>
      <c r="Y95">
        <f t="shared" si="19"/>
        <v>2.24125</v>
      </c>
      <c r="Z95" s="64">
        <f t="shared" si="20"/>
        <v>0.37354166666666666</v>
      </c>
    </row>
    <row r="96" spans="1:26">
      <c r="A96">
        <v>53</v>
      </c>
      <c r="B96" t="e">
        <f t="shared" si="17"/>
        <v>#REF!</v>
      </c>
      <c r="C96" s="153" t="e">
        <f t="shared" si="24"/>
        <v>#REF!</v>
      </c>
      <c r="D96" s="153" t="e">
        <f t="shared" si="18"/>
        <v>#REF!</v>
      </c>
      <c r="E96" s="64" t="e">
        <f t="shared" si="13"/>
        <v>#REF!</v>
      </c>
      <c r="F96" s="64" t="e">
        <f t="shared" si="21"/>
        <v>#REF!</v>
      </c>
      <c r="G96" s="64" t="e">
        <f t="shared" si="22"/>
        <v>#REF!</v>
      </c>
      <c r="H96" s="64" t="e">
        <f t="shared" si="23"/>
        <v>#REF!</v>
      </c>
      <c r="V96">
        <v>88</v>
      </c>
      <c r="W96">
        <f t="shared" si="15"/>
        <v>1.9205098129947689</v>
      </c>
      <c r="X96">
        <f t="shared" si="16"/>
        <v>2.3874352476042424</v>
      </c>
      <c r="Y96">
        <f t="shared" si="19"/>
        <v>2.24125</v>
      </c>
      <c r="Z96" s="64">
        <f t="shared" si="20"/>
        <v>0.37354166666666666</v>
      </c>
    </row>
    <row r="97" spans="1:26">
      <c r="A97">
        <v>54</v>
      </c>
      <c r="B97" t="e">
        <f t="shared" si="17"/>
        <v>#REF!</v>
      </c>
      <c r="C97" s="153" t="e">
        <f t="shared" si="24"/>
        <v>#REF!</v>
      </c>
      <c r="D97" s="153" t="e">
        <f t="shared" si="18"/>
        <v>#REF!</v>
      </c>
      <c r="E97" s="64" t="e">
        <f t="shared" si="13"/>
        <v>#REF!</v>
      </c>
      <c r="F97" s="64" t="e">
        <f t="shared" si="21"/>
        <v>#REF!</v>
      </c>
      <c r="G97" s="64" t="e">
        <f t="shared" si="22"/>
        <v>#REF!</v>
      </c>
      <c r="H97" s="64" t="e">
        <f t="shared" si="23"/>
        <v>#REF!</v>
      </c>
      <c r="V97">
        <v>89</v>
      </c>
      <c r="W97">
        <f t="shared" si="15"/>
        <v>1.9205098129947689</v>
      </c>
      <c r="X97">
        <f t="shared" si="16"/>
        <v>2.3874352476042424</v>
      </c>
      <c r="Y97">
        <f t="shared" si="19"/>
        <v>2.24125</v>
      </c>
      <c r="Z97" s="64">
        <f t="shared" si="20"/>
        <v>0.37354166666666666</v>
      </c>
    </row>
    <row r="98" spans="1:26">
      <c r="A98">
        <v>55</v>
      </c>
      <c r="B98" t="e">
        <f t="shared" si="17"/>
        <v>#REF!</v>
      </c>
      <c r="C98" s="153" t="e">
        <f t="shared" si="24"/>
        <v>#REF!</v>
      </c>
      <c r="D98" s="153" t="e">
        <f t="shared" si="18"/>
        <v>#REF!</v>
      </c>
      <c r="E98" s="64" t="e">
        <f t="shared" si="13"/>
        <v>#REF!</v>
      </c>
      <c r="F98" s="64" t="e">
        <f t="shared" si="21"/>
        <v>#REF!</v>
      </c>
      <c r="G98" s="64" t="e">
        <f t="shared" si="22"/>
        <v>#REF!</v>
      </c>
      <c r="H98" s="64" t="e">
        <f t="shared" si="23"/>
        <v>#REF!</v>
      </c>
      <c r="V98">
        <v>90</v>
      </c>
      <c r="W98">
        <f t="shared" si="15"/>
        <v>1.9205098129947689</v>
      </c>
      <c r="X98">
        <f t="shared" si="16"/>
        <v>2.3874352476042424</v>
      </c>
      <c r="Y98">
        <f t="shared" si="19"/>
        <v>2.24125</v>
      </c>
      <c r="Z98" s="64">
        <f t="shared" si="20"/>
        <v>0.37354166666666666</v>
      </c>
    </row>
    <row r="99" spans="1:26">
      <c r="A99">
        <v>56</v>
      </c>
      <c r="B99" t="e">
        <f t="shared" si="17"/>
        <v>#REF!</v>
      </c>
      <c r="C99" s="153" t="e">
        <f t="shared" si="24"/>
        <v>#REF!</v>
      </c>
      <c r="D99" s="153" t="e">
        <f t="shared" si="18"/>
        <v>#REF!</v>
      </c>
      <c r="E99" s="64" t="e">
        <f t="shared" si="13"/>
        <v>#REF!</v>
      </c>
      <c r="F99" s="64" t="e">
        <f t="shared" si="21"/>
        <v>#REF!</v>
      </c>
      <c r="G99" s="64" t="e">
        <f t="shared" si="22"/>
        <v>#REF!</v>
      </c>
      <c r="H99" s="64" t="e">
        <f t="shared" si="23"/>
        <v>#REF!</v>
      </c>
      <c r="V99">
        <v>91</v>
      </c>
      <c r="W99">
        <f t="shared" si="15"/>
        <v>1.9205098129947689</v>
      </c>
      <c r="X99">
        <f t="shared" si="16"/>
        <v>2.3874352476042424</v>
      </c>
      <c r="Y99">
        <f t="shared" si="19"/>
        <v>2.24125</v>
      </c>
      <c r="Z99" s="64">
        <f t="shared" si="20"/>
        <v>0.37354166666666666</v>
      </c>
    </row>
    <row r="100" spans="1:26">
      <c r="A100">
        <v>57</v>
      </c>
      <c r="B100" t="e">
        <f t="shared" si="17"/>
        <v>#REF!</v>
      </c>
      <c r="C100" s="153" t="e">
        <f t="shared" si="24"/>
        <v>#REF!</v>
      </c>
      <c r="D100" s="153" t="e">
        <f t="shared" si="18"/>
        <v>#REF!</v>
      </c>
      <c r="E100" s="64" t="e">
        <f t="shared" si="13"/>
        <v>#REF!</v>
      </c>
      <c r="F100" s="64" t="e">
        <f t="shared" si="21"/>
        <v>#REF!</v>
      </c>
      <c r="G100" s="64" t="e">
        <f t="shared" si="22"/>
        <v>#REF!</v>
      </c>
      <c r="H100" s="64" t="e">
        <f t="shared" si="23"/>
        <v>#REF!</v>
      </c>
      <c r="V100">
        <v>92</v>
      </c>
      <c r="W100">
        <f t="shared" si="15"/>
        <v>1.9205098129947689</v>
      </c>
      <c r="X100">
        <f t="shared" si="16"/>
        <v>2.3874352476042424</v>
      </c>
      <c r="Y100">
        <f t="shared" si="19"/>
        <v>2.24125</v>
      </c>
      <c r="Z100" s="64">
        <f t="shared" si="20"/>
        <v>0.37354166666666666</v>
      </c>
    </row>
    <row r="101" spans="1:26">
      <c r="A101">
        <v>58</v>
      </c>
      <c r="B101" t="e">
        <f t="shared" si="17"/>
        <v>#REF!</v>
      </c>
      <c r="C101" s="153" t="e">
        <f t="shared" si="24"/>
        <v>#REF!</v>
      </c>
      <c r="D101" s="153" t="e">
        <f t="shared" si="18"/>
        <v>#REF!</v>
      </c>
      <c r="E101" s="64" t="e">
        <f t="shared" si="13"/>
        <v>#REF!</v>
      </c>
      <c r="F101" s="64" t="e">
        <f t="shared" si="21"/>
        <v>#REF!</v>
      </c>
      <c r="G101" s="64" t="e">
        <f t="shared" si="22"/>
        <v>#REF!</v>
      </c>
      <c r="H101" s="64" t="e">
        <f t="shared" si="23"/>
        <v>#REF!</v>
      </c>
      <c r="V101">
        <v>93</v>
      </c>
      <c r="W101">
        <f t="shared" si="15"/>
        <v>1.9205098129947689</v>
      </c>
      <c r="X101">
        <f t="shared" si="16"/>
        <v>2.3874352476042424</v>
      </c>
      <c r="Y101">
        <f t="shared" si="19"/>
        <v>2.24125</v>
      </c>
      <c r="Z101" s="64">
        <f t="shared" si="20"/>
        <v>0.37354166666666666</v>
      </c>
    </row>
    <row r="102" spans="1:26">
      <c r="A102">
        <v>59</v>
      </c>
      <c r="B102" t="e">
        <f t="shared" si="17"/>
        <v>#REF!</v>
      </c>
      <c r="C102" s="153" t="e">
        <f t="shared" si="24"/>
        <v>#REF!</v>
      </c>
      <c r="D102" s="153" t="e">
        <f t="shared" si="18"/>
        <v>#REF!</v>
      </c>
      <c r="E102" s="64" t="e">
        <f t="shared" si="13"/>
        <v>#REF!</v>
      </c>
      <c r="F102" s="64" t="e">
        <f t="shared" si="21"/>
        <v>#REF!</v>
      </c>
      <c r="G102" s="64" t="e">
        <f t="shared" si="22"/>
        <v>#REF!</v>
      </c>
      <c r="H102" s="64" t="e">
        <f t="shared" si="23"/>
        <v>#REF!</v>
      </c>
      <c r="V102">
        <v>94</v>
      </c>
      <c r="W102">
        <f>$B$36</f>
        <v>1.9205098129947689</v>
      </c>
      <c r="X102">
        <f>$B$37</f>
        <v>2.3874352476042424</v>
      </c>
      <c r="Y102">
        <f>$B$26/2</f>
        <v>2.24125</v>
      </c>
      <c r="Z102" s="64">
        <f t="shared" si="20"/>
        <v>0.37354166666666666</v>
      </c>
    </row>
    <row r="103" spans="1:26">
      <c r="A103">
        <v>60</v>
      </c>
      <c r="B103" t="e">
        <f t="shared" si="17"/>
        <v>#REF!</v>
      </c>
      <c r="C103" s="153" t="e">
        <f t="shared" si="24"/>
        <v>#REF!</v>
      </c>
      <c r="D103" s="153" t="e">
        <f t="shared" si="18"/>
        <v>#REF!</v>
      </c>
      <c r="E103" s="64" t="e">
        <f t="shared" si="13"/>
        <v>#REF!</v>
      </c>
      <c r="F103" s="64" t="e">
        <f t="shared" si="21"/>
        <v>#REF!</v>
      </c>
      <c r="G103" s="64" t="e">
        <f t="shared" si="22"/>
        <v>#REF!</v>
      </c>
      <c r="H103" s="64" t="e">
        <f t="shared" si="23"/>
        <v>#REF!</v>
      </c>
      <c r="V103">
        <v>95</v>
      </c>
      <c r="W103">
        <f t="shared" si="15"/>
        <v>1.9205098129947689</v>
      </c>
      <c r="X103">
        <f t="shared" si="16"/>
        <v>2.3874352476042424</v>
      </c>
      <c r="Y103">
        <f t="shared" si="19"/>
        <v>2.24125</v>
      </c>
      <c r="Z103" s="64">
        <f t="shared" si="20"/>
        <v>0.37354166666666666</v>
      </c>
    </row>
    <row r="104" spans="1:26">
      <c r="A104">
        <v>61</v>
      </c>
      <c r="B104" t="e">
        <f t="shared" si="17"/>
        <v>#REF!</v>
      </c>
      <c r="C104" s="153" t="e">
        <f t="shared" si="24"/>
        <v>#REF!</v>
      </c>
      <c r="D104" s="153" t="e">
        <f t="shared" si="18"/>
        <v>#REF!</v>
      </c>
      <c r="E104" s="64" t="e">
        <f t="shared" si="13"/>
        <v>#REF!</v>
      </c>
      <c r="F104" s="64" t="e">
        <f t="shared" si="21"/>
        <v>#REF!</v>
      </c>
      <c r="G104" s="64" t="e">
        <f t="shared" si="22"/>
        <v>#REF!</v>
      </c>
      <c r="H104" s="64" t="e">
        <f t="shared" si="23"/>
        <v>#REF!</v>
      </c>
      <c r="V104">
        <v>96</v>
      </c>
      <c r="W104">
        <f t="shared" si="15"/>
        <v>1.9205098129947689</v>
      </c>
      <c r="X104">
        <f t="shared" si="16"/>
        <v>2.3874352476042424</v>
      </c>
      <c r="Y104">
        <f t="shared" si="19"/>
        <v>2.24125</v>
      </c>
      <c r="Z104" s="64">
        <f t="shared" si="20"/>
        <v>0.37354166666666666</v>
      </c>
    </row>
    <row r="105" spans="1:26">
      <c r="A105">
        <v>62</v>
      </c>
      <c r="B105" t="e">
        <f t="shared" ref="B105:B136" si="25">$B$4/$B$12*A105</f>
        <v>#REF!</v>
      </c>
      <c r="C105" s="153" t="e">
        <f t="shared" si="24"/>
        <v>#REF!</v>
      </c>
      <c r="D105" s="153" t="e">
        <f t="shared" ref="D105:D136" si="26">IF(B105&lt;$B$26/12,1/2*($B$11-$B$11*($B$26/12)/$B$4)*($B$4-($B$26/12)),1/2*($B$11-$B$11*B105/$B$4)*($B$4-B105))</f>
        <v>#REF!</v>
      </c>
      <c r="E105" s="64" t="e">
        <f t="shared" si="13"/>
        <v>#REF!</v>
      </c>
      <c r="F105" s="64" t="e">
        <f t="shared" si="21"/>
        <v>#REF!</v>
      </c>
      <c r="G105" s="64" t="e">
        <f t="shared" si="22"/>
        <v>#REF!</v>
      </c>
      <c r="H105" s="64" t="e">
        <f t="shared" si="23"/>
        <v>#REF!</v>
      </c>
      <c r="V105">
        <v>97</v>
      </c>
      <c r="W105">
        <f t="shared" si="15"/>
        <v>1.9205098129947689</v>
      </c>
      <c r="X105">
        <f t="shared" si="16"/>
        <v>2.3874352476042424</v>
      </c>
      <c r="Y105">
        <f t="shared" si="19"/>
        <v>2.24125</v>
      </c>
      <c r="Z105" s="64">
        <f t="shared" si="20"/>
        <v>0.37354166666666666</v>
      </c>
    </row>
    <row r="106" spans="1:26">
      <c r="A106">
        <v>63</v>
      </c>
      <c r="B106" t="e">
        <f t="shared" si="25"/>
        <v>#REF!</v>
      </c>
      <c r="C106" s="153" t="e">
        <f t="shared" si="24"/>
        <v>#REF!</v>
      </c>
      <c r="D106" s="153" t="e">
        <f t="shared" si="26"/>
        <v>#REF!</v>
      </c>
      <c r="E106" s="64" t="e">
        <f t="shared" si="13"/>
        <v>#REF!</v>
      </c>
      <c r="F106" s="64" t="e">
        <f t="shared" si="21"/>
        <v>#REF!</v>
      </c>
      <c r="G106" s="64" t="e">
        <f t="shared" si="22"/>
        <v>#REF!</v>
      </c>
      <c r="H106" s="64" t="e">
        <f t="shared" si="23"/>
        <v>#REF!</v>
      </c>
      <c r="V106">
        <v>98</v>
      </c>
      <c r="W106">
        <f t="shared" si="15"/>
        <v>1.9205098129947689</v>
      </c>
      <c r="X106">
        <f t="shared" si="16"/>
        <v>2.3874352476042424</v>
      </c>
      <c r="Y106">
        <f t="shared" si="19"/>
        <v>2.24125</v>
      </c>
      <c r="Z106" s="64">
        <f t="shared" si="20"/>
        <v>0.37354166666666666</v>
      </c>
    </row>
    <row r="107" spans="1:26">
      <c r="A107">
        <v>64</v>
      </c>
      <c r="B107" t="e">
        <f t="shared" si="25"/>
        <v>#REF!</v>
      </c>
      <c r="C107" s="153" t="e">
        <f t="shared" si="24"/>
        <v>#REF!</v>
      </c>
      <c r="D107" s="153" t="e">
        <f t="shared" si="26"/>
        <v>#REF!</v>
      </c>
      <c r="E107" s="64" t="e">
        <f t="shared" si="13"/>
        <v>#REF!</v>
      </c>
      <c r="F107" s="64" t="e">
        <f t="shared" ref="F107:F143" si="27">0.75*B$33*$B$15*$B$26/$E107</f>
        <v>#REF!</v>
      </c>
      <c r="G107" s="64" t="e">
        <f t="shared" ref="G107:G143" si="28">0.75*C$33*$B$15*$B$26/$E107</f>
        <v>#REF!</v>
      </c>
      <c r="H107" s="64" t="e">
        <f t="shared" ref="H107:H143" si="29">0.75*D$33*$B$15*$B$26/$E107</f>
        <v>#REF!</v>
      </c>
      <c r="V107">
        <v>99</v>
      </c>
      <c r="W107">
        <f t="shared" si="15"/>
        <v>1.9205098129947689</v>
      </c>
      <c r="X107">
        <f t="shared" si="16"/>
        <v>2.3874352476042424</v>
      </c>
      <c r="Y107">
        <f t="shared" si="19"/>
        <v>2.24125</v>
      </c>
      <c r="Z107" s="64">
        <f t="shared" si="20"/>
        <v>0.37354166666666666</v>
      </c>
    </row>
    <row r="108" spans="1:26">
      <c r="A108">
        <v>65</v>
      </c>
      <c r="B108" t="e">
        <f t="shared" si="25"/>
        <v>#REF!</v>
      </c>
      <c r="C108" s="153" t="e">
        <f t="shared" si="24"/>
        <v>#REF!</v>
      </c>
      <c r="D108" s="153" t="e">
        <f t="shared" si="26"/>
        <v>#REF!</v>
      </c>
      <c r="E108" s="64" t="e">
        <f t="shared" ref="E108:E143" si="30">D108-$B$28</f>
        <v>#REF!</v>
      </c>
      <c r="F108" s="64" t="e">
        <f t="shared" si="27"/>
        <v>#REF!</v>
      </c>
      <c r="G108" s="64" t="e">
        <f t="shared" si="28"/>
        <v>#REF!</v>
      </c>
      <c r="H108" s="64" t="e">
        <f t="shared" si="29"/>
        <v>#REF!</v>
      </c>
      <c r="V108">
        <v>100</v>
      </c>
      <c r="W108">
        <f t="shared" si="15"/>
        <v>1.9205098129947689</v>
      </c>
      <c r="X108">
        <f t="shared" si="16"/>
        <v>2.3874352476042424</v>
      </c>
      <c r="Y108">
        <f t="shared" si="19"/>
        <v>2.24125</v>
      </c>
      <c r="Z108" s="64">
        <f t="shared" si="20"/>
        <v>0.37354166666666666</v>
      </c>
    </row>
    <row r="109" spans="1:26">
      <c r="A109">
        <v>66</v>
      </c>
      <c r="B109" t="e">
        <f t="shared" si="25"/>
        <v>#REF!</v>
      </c>
      <c r="C109" s="153" t="e">
        <f t="shared" si="24"/>
        <v>#REF!</v>
      </c>
      <c r="D109" s="153" t="e">
        <f t="shared" si="26"/>
        <v>#REF!</v>
      </c>
      <c r="E109" s="64" t="e">
        <f t="shared" si="30"/>
        <v>#REF!</v>
      </c>
      <c r="F109" s="64" t="e">
        <f t="shared" si="27"/>
        <v>#REF!</v>
      </c>
      <c r="G109" s="64" t="e">
        <f t="shared" si="28"/>
        <v>#REF!</v>
      </c>
      <c r="H109" s="64" t="e">
        <f t="shared" si="29"/>
        <v>#REF!</v>
      </c>
      <c r="V109">
        <v>101</v>
      </c>
      <c r="W109">
        <f t="shared" si="15"/>
        <v>1.9205098129947689</v>
      </c>
      <c r="X109">
        <f t="shared" si="16"/>
        <v>2.3874352476042424</v>
      </c>
      <c r="Y109">
        <f t="shared" si="19"/>
        <v>2.24125</v>
      </c>
      <c r="Z109" s="64">
        <f t="shared" si="20"/>
        <v>0.37354166666666666</v>
      </c>
    </row>
    <row r="110" spans="1:26">
      <c r="A110">
        <v>67</v>
      </c>
      <c r="B110" t="e">
        <f t="shared" si="25"/>
        <v>#REF!</v>
      </c>
      <c r="C110" s="153" t="e">
        <f t="shared" si="24"/>
        <v>#REF!</v>
      </c>
      <c r="D110" s="153" t="e">
        <f t="shared" si="26"/>
        <v>#REF!</v>
      </c>
      <c r="E110" s="64" t="e">
        <f t="shared" si="30"/>
        <v>#REF!</v>
      </c>
      <c r="F110" s="64" t="e">
        <f t="shared" si="27"/>
        <v>#REF!</v>
      </c>
      <c r="G110" s="64" t="e">
        <f t="shared" si="28"/>
        <v>#REF!</v>
      </c>
      <c r="H110" s="64" t="e">
        <f t="shared" si="29"/>
        <v>#REF!</v>
      </c>
      <c r="V110">
        <v>102</v>
      </c>
      <c r="W110">
        <f t="shared" si="15"/>
        <v>1.9205098129947689</v>
      </c>
      <c r="X110">
        <f t="shared" si="16"/>
        <v>2.3874352476042424</v>
      </c>
      <c r="Y110">
        <f t="shared" si="19"/>
        <v>2.24125</v>
      </c>
      <c r="Z110" s="64">
        <f t="shared" si="20"/>
        <v>0.37354166666666666</v>
      </c>
    </row>
    <row r="111" spans="1:26">
      <c r="A111">
        <v>68</v>
      </c>
      <c r="B111" t="e">
        <f t="shared" si="25"/>
        <v>#REF!</v>
      </c>
      <c r="C111" s="153" t="e">
        <f t="shared" si="24"/>
        <v>#REF!</v>
      </c>
      <c r="D111" s="153" t="e">
        <f t="shared" si="26"/>
        <v>#REF!</v>
      </c>
      <c r="E111" s="64" t="e">
        <f t="shared" si="30"/>
        <v>#REF!</v>
      </c>
      <c r="F111" s="64" t="e">
        <f t="shared" si="27"/>
        <v>#REF!</v>
      </c>
      <c r="G111" s="64" t="e">
        <f t="shared" si="28"/>
        <v>#REF!</v>
      </c>
      <c r="H111" s="64" t="e">
        <f t="shared" si="29"/>
        <v>#REF!</v>
      </c>
      <c r="V111">
        <v>103</v>
      </c>
      <c r="W111">
        <f t="shared" si="15"/>
        <v>1.9205098129947689</v>
      </c>
      <c r="X111">
        <f t="shared" si="16"/>
        <v>2.3874352476042424</v>
      </c>
      <c r="Y111">
        <f t="shared" si="19"/>
        <v>2.24125</v>
      </c>
      <c r="Z111" s="64">
        <f t="shared" si="20"/>
        <v>0.37354166666666666</v>
      </c>
    </row>
    <row r="112" spans="1:26">
      <c r="A112">
        <v>69</v>
      </c>
      <c r="B112" t="e">
        <f t="shared" si="25"/>
        <v>#REF!</v>
      </c>
      <c r="C112" s="153" t="e">
        <f t="shared" si="24"/>
        <v>#REF!</v>
      </c>
      <c r="D112" s="153" t="e">
        <f t="shared" si="26"/>
        <v>#REF!</v>
      </c>
      <c r="E112" s="64" t="e">
        <f t="shared" si="30"/>
        <v>#REF!</v>
      </c>
      <c r="F112" s="64" t="e">
        <f t="shared" si="27"/>
        <v>#REF!</v>
      </c>
      <c r="G112" s="64" t="e">
        <f t="shared" si="28"/>
        <v>#REF!</v>
      </c>
      <c r="H112" s="64" t="e">
        <f t="shared" si="29"/>
        <v>#REF!</v>
      </c>
      <c r="V112">
        <v>104</v>
      </c>
      <c r="W112">
        <f t="shared" si="15"/>
        <v>1.9205098129947689</v>
      </c>
      <c r="X112">
        <f t="shared" si="16"/>
        <v>2.3874352476042424</v>
      </c>
      <c r="Y112">
        <f t="shared" si="19"/>
        <v>2.24125</v>
      </c>
      <c r="Z112" s="64">
        <f t="shared" si="20"/>
        <v>0.37354166666666666</v>
      </c>
    </row>
    <row r="113" spans="1:26">
      <c r="A113">
        <v>70</v>
      </c>
      <c r="B113" t="e">
        <f t="shared" si="25"/>
        <v>#REF!</v>
      </c>
      <c r="C113" s="153" t="e">
        <f t="shared" si="24"/>
        <v>#REF!</v>
      </c>
      <c r="D113" s="153" t="e">
        <f t="shared" si="26"/>
        <v>#REF!</v>
      </c>
      <c r="E113" s="64" t="e">
        <f t="shared" si="30"/>
        <v>#REF!</v>
      </c>
      <c r="F113" s="64" t="e">
        <f t="shared" si="27"/>
        <v>#REF!</v>
      </c>
      <c r="G113" s="64" t="e">
        <f t="shared" si="28"/>
        <v>#REF!</v>
      </c>
      <c r="H113" s="64" t="e">
        <f t="shared" si="29"/>
        <v>#REF!</v>
      </c>
      <c r="V113">
        <v>105</v>
      </c>
      <c r="W113">
        <f t="shared" si="15"/>
        <v>1.9205098129947689</v>
      </c>
      <c r="X113">
        <f t="shared" si="16"/>
        <v>2.3874352476042424</v>
      </c>
      <c r="Y113">
        <f t="shared" si="19"/>
        <v>2.24125</v>
      </c>
      <c r="Z113" s="64">
        <f t="shared" si="20"/>
        <v>0.37354166666666666</v>
      </c>
    </row>
    <row r="114" spans="1:26">
      <c r="A114">
        <v>71</v>
      </c>
      <c r="B114" t="e">
        <f t="shared" si="25"/>
        <v>#REF!</v>
      </c>
      <c r="C114" s="153" t="e">
        <f t="shared" si="24"/>
        <v>#REF!</v>
      </c>
      <c r="D114" s="153" t="e">
        <f t="shared" si="26"/>
        <v>#REF!</v>
      </c>
      <c r="E114" s="64" t="e">
        <f t="shared" si="30"/>
        <v>#REF!</v>
      </c>
      <c r="F114" s="64" t="e">
        <f t="shared" si="27"/>
        <v>#REF!</v>
      </c>
      <c r="G114" s="64" t="e">
        <f t="shared" si="28"/>
        <v>#REF!</v>
      </c>
      <c r="H114" s="64" t="e">
        <f t="shared" si="29"/>
        <v>#REF!</v>
      </c>
      <c r="V114">
        <v>106</v>
      </c>
      <c r="W114">
        <f t="shared" si="15"/>
        <v>1.9205098129947689</v>
      </c>
      <c r="X114">
        <f t="shared" si="16"/>
        <v>2.3874352476042424</v>
      </c>
      <c r="Y114">
        <f t="shared" si="19"/>
        <v>2.24125</v>
      </c>
      <c r="Z114" s="64">
        <f t="shared" si="20"/>
        <v>0.37354166666666666</v>
      </c>
    </row>
    <row r="115" spans="1:26">
      <c r="A115">
        <v>72</v>
      </c>
      <c r="B115" t="e">
        <f t="shared" si="25"/>
        <v>#REF!</v>
      </c>
      <c r="C115" s="153" t="e">
        <f t="shared" si="24"/>
        <v>#REF!</v>
      </c>
      <c r="D115" s="153" t="e">
        <f t="shared" si="26"/>
        <v>#REF!</v>
      </c>
      <c r="E115" s="64" t="e">
        <f t="shared" si="30"/>
        <v>#REF!</v>
      </c>
      <c r="F115" s="64" t="e">
        <f t="shared" si="27"/>
        <v>#REF!</v>
      </c>
      <c r="G115" s="64" t="e">
        <f t="shared" si="28"/>
        <v>#REF!</v>
      </c>
      <c r="H115" s="64" t="e">
        <f t="shared" si="29"/>
        <v>#REF!</v>
      </c>
      <c r="V115">
        <v>107</v>
      </c>
      <c r="W115">
        <f t="shared" si="15"/>
        <v>1.9205098129947689</v>
      </c>
      <c r="X115">
        <f t="shared" si="16"/>
        <v>2.3874352476042424</v>
      </c>
      <c r="Y115">
        <f t="shared" si="19"/>
        <v>2.24125</v>
      </c>
      <c r="Z115" s="64">
        <f t="shared" si="20"/>
        <v>0.37354166666666666</v>
      </c>
    </row>
    <row r="116" spans="1:26">
      <c r="A116">
        <v>73</v>
      </c>
      <c r="B116" t="e">
        <f t="shared" si="25"/>
        <v>#REF!</v>
      </c>
      <c r="C116" s="153" t="e">
        <f t="shared" si="24"/>
        <v>#REF!</v>
      </c>
      <c r="D116" s="153" t="e">
        <f t="shared" si="26"/>
        <v>#REF!</v>
      </c>
      <c r="E116" s="64" t="e">
        <f t="shared" si="30"/>
        <v>#REF!</v>
      </c>
      <c r="F116" s="64" t="e">
        <f t="shared" si="27"/>
        <v>#REF!</v>
      </c>
      <c r="G116" s="64" t="e">
        <f t="shared" si="28"/>
        <v>#REF!</v>
      </c>
      <c r="H116" s="64" t="e">
        <f t="shared" si="29"/>
        <v>#REF!</v>
      </c>
      <c r="V116">
        <v>108</v>
      </c>
      <c r="W116">
        <f t="shared" si="15"/>
        <v>1.9205098129947689</v>
      </c>
      <c r="X116">
        <f t="shared" si="16"/>
        <v>2.3874352476042424</v>
      </c>
      <c r="Y116">
        <f t="shared" si="19"/>
        <v>2.24125</v>
      </c>
      <c r="Z116" s="64">
        <f t="shared" si="20"/>
        <v>0.37354166666666666</v>
      </c>
    </row>
    <row r="117" spans="1:26">
      <c r="A117">
        <v>74</v>
      </c>
      <c r="B117" t="e">
        <f t="shared" si="25"/>
        <v>#REF!</v>
      </c>
      <c r="C117" s="153" t="e">
        <f t="shared" si="24"/>
        <v>#REF!</v>
      </c>
      <c r="D117" s="153" t="e">
        <f t="shared" si="26"/>
        <v>#REF!</v>
      </c>
      <c r="E117" s="64" t="e">
        <f t="shared" si="30"/>
        <v>#REF!</v>
      </c>
      <c r="F117" s="64" t="e">
        <f t="shared" si="27"/>
        <v>#REF!</v>
      </c>
      <c r="G117" s="64" t="e">
        <f t="shared" si="28"/>
        <v>#REF!</v>
      </c>
      <c r="H117" s="64" t="e">
        <f t="shared" si="29"/>
        <v>#REF!</v>
      </c>
      <c r="V117">
        <v>109</v>
      </c>
      <c r="W117">
        <f t="shared" si="15"/>
        <v>1.9205098129947689</v>
      </c>
      <c r="X117">
        <f t="shared" si="16"/>
        <v>2.3874352476042424</v>
      </c>
      <c r="Y117">
        <f t="shared" si="19"/>
        <v>2.24125</v>
      </c>
      <c r="Z117" s="64">
        <f t="shared" si="20"/>
        <v>0.37354166666666666</v>
      </c>
    </row>
    <row r="118" spans="1:26">
      <c r="A118">
        <v>75</v>
      </c>
      <c r="B118" t="e">
        <f t="shared" si="25"/>
        <v>#REF!</v>
      </c>
      <c r="C118" s="153" t="e">
        <f t="shared" si="24"/>
        <v>#REF!</v>
      </c>
      <c r="D118" s="153" t="e">
        <f t="shared" si="26"/>
        <v>#REF!</v>
      </c>
      <c r="E118" s="64" t="e">
        <f t="shared" si="30"/>
        <v>#REF!</v>
      </c>
      <c r="F118" s="64" t="e">
        <f t="shared" si="27"/>
        <v>#REF!</v>
      </c>
      <c r="G118" s="64" t="e">
        <f t="shared" si="28"/>
        <v>#REF!</v>
      </c>
      <c r="H118" s="64" t="e">
        <f t="shared" si="29"/>
        <v>#REF!</v>
      </c>
      <c r="V118">
        <v>110</v>
      </c>
      <c r="W118">
        <f t="shared" si="15"/>
        <v>1.9205098129947689</v>
      </c>
      <c r="X118">
        <f t="shared" si="16"/>
        <v>2.3874352476042424</v>
      </c>
      <c r="Y118">
        <f t="shared" si="19"/>
        <v>2.24125</v>
      </c>
      <c r="Z118" s="64">
        <f t="shared" si="20"/>
        <v>0.37354166666666666</v>
      </c>
    </row>
    <row r="119" spans="1:26">
      <c r="A119">
        <v>76</v>
      </c>
      <c r="B119" t="e">
        <f t="shared" si="25"/>
        <v>#REF!</v>
      </c>
      <c r="C119" s="153" t="e">
        <f t="shared" si="24"/>
        <v>#REF!</v>
      </c>
      <c r="D119" s="153" t="e">
        <f t="shared" si="26"/>
        <v>#REF!</v>
      </c>
      <c r="E119" s="64" t="e">
        <f t="shared" si="30"/>
        <v>#REF!</v>
      </c>
      <c r="F119" s="64" t="e">
        <f t="shared" si="27"/>
        <v>#REF!</v>
      </c>
      <c r="G119" s="64" t="e">
        <f t="shared" si="28"/>
        <v>#REF!</v>
      </c>
      <c r="H119" s="64" t="e">
        <f t="shared" si="29"/>
        <v>#REF!</v>
      </c>
      <c r="V119">
        <v>111</v>
      </c>
      <c r="W119">
        <f t="shared" si="15"/>
        <v>1.9205098129947689</v>
      </c>
      <c r="X119">
        <f t="shared" si="16"/>
        <v>2.3874352476042424</v>
      </c>
      <c r="Y119">
        <f t="shared" si="19"/>
        <v>2.24125</v>
      </c>
      <c r="Z119" s="64">
        <f t="shared" si="20"/>
        <v>0.37354166666666666</v>
      </c>
    </row>
    <row r="120" spans="1:26">
      <c r="A120">
        <v>77</v>
      </c>
      <c r="B120" t="e">
        <f t="shared" si="25"/>
        <v>#REF!</v>
      </c>
      <c r="C120" s="153" t="e">
        <f t="shared" si="24"/>
        <v>#REF!</v>
      </c>
      <c r="D120" s="153" t="e">
        <f t="shared" si="26"/>
        <v>#REF!</v>
      </c>
      <c r="E120" s="64" t="e">
        <f t="shared" si="30"/>
        <v>#REF!</v>
      </c>
      <c r="F120" s="64" t="e">
        <f t="shared" si="27"/>
        <v>#REF!</v>
      </c>
      <c r="G120" s="64" t="e">
        <f t="shared" si="28"/>
        <v>#REF!</v>
      </c>
      <c r="H120" s="64" t="e">
        <f t="shared" si="29"/>
        <v>#REF!</v>
      </c>
      <c r="V120">
        <v>112</v>
      </c>
      <c r="W120">
        <f t="shared" si="15"/>
        <v>1.9205098129947689</v>
      </c>
      <c r="X120">
        <f t="shared" si="16"/>
        <v>2.3874352476042424</v>
      </c>
      <c r="Y120">
        <f t="shared" si="19"/>
        <v>2.24125</v>
      </c>
      <c r="Z120" s="64">
        <f t="shared" si="20"/>
        <v>0.37354166666666666</v>
      </c>
    </row>
    <row r="121" spans="1:26">
      <c r="A121">
        <v>78</v>
      </c>
      <c r="B121" t="e">
        <f t="shared" si="25"/>
        <v>#REF!</v>
      </c>
      <c r="C121" s="153" t="e">
        <f t="shared" si="24"/>
        <v>#REF!</v>
      </c>
      <c r="D121" s="153" t="e">
        <f t="shared" si="26"/>
        <v>#REF!</v>
      </c>
      <c r="E121" s="64" t="e">
        <f t="shared" si="30"/>
        <v>#REF!</v>
      </c>
      <c r="F121" s="64" t="e">
        <f t="shared" si="27"/>
        <v>#REF!</v>
      </c>
      <c r="G121" s="64" t="e">
        <f t="shared" si="28"/>
        <v>#REF!</v>
      </c>
      <c r="H121" s="64" t="e">
        <f t="shared" si="29"/>
        <v>#REF!</v>
      </c>
      <c r="V121">
        <v>113</v>
      </c>
      <c r="W121">
        <f t="shared" si="15"/>
        <v>1.9205098129947689</v>
      </c>
      <c r="X121">
        <f t="shared" si="16"/>
        <v>2.3874352476042424</v>
      </c>
      <c r="Y121">
        <f t="shared" si="19"/>
        <v>2.24125</v>
      </c>
      <c r="Z121" s="64">
        <f t="shared" si="20"/>
        <v>0.37354166666666666</v>
      </c>
    </row>
    <row r="122" spans="1:26">
      <c r="A122">
        <v>79</v>
      </c>
      <c r="B122" t="e">
        <f t="shared" si="25"/>
        <v>#REF!</v>
      </c>
      <c r="C122" s="153" t="e">
        <f t="shared" si="24"/>
        <v>#REF!</v>
      </c>
      <c r="D122" s="153" t="e">
        <f t="shared" si="26"/>
        <v>#REF!</v>
      </c>
      <c r="E122" s="64" t="e">
        <f t="shared" si="30"/>
        <v>#REF!</v>
      </c>
      <c r="F122" s="64" t="e">
        <f t="shared" si="27"/>
        <v>#REF!</v>
      </c>
      <c r="G122" s="64" t="e">
        <f t="shared" si="28"/>
        <v>#REF!</v>
      </c>
      <c r="H122" s="64" t="e">
        <f t="shared" si="29"/>
        <v>#REF!</v>
      </c>
      <c r="V122">
        <v>114</v>
      </c>
      <c r="W122">
        <f t="shared" si="15"/>
        <v>1.9205098129947689</v>
      </c>
      <c r="X122">
        <f t="shared" si="16"/>
        <v>2.3874352476042424</v>
      </c>
      <c r="Y122">
        <f t="shared" si="19"/>
        <v>2.24125</v>
      </c>
      <c r="Z122" s="64">
        <f t="shared" si="20"/>
        <v>0.37354166666666666</v>
      </c>
    </row>
    <row r="123" spans="1:26">
      <c r="A123">
        <v>80</v>
      </c>
      <c r="B123" t="e">
        <f t="shared" si="25"/>
        <v>#REF!</v>
      </c>
      <c r="C123" s="153" t="e">
        <f t="shared" si="24"/>
        <v>#REF!</v>
      </c>
      <c r="D123" s="153" t="e">
        <f t="shared" si="26"/>
        <v>#REF!</v>
      </c>
      <c r="E123" s="64" t="e">
        <f t="shared" si="30"/>
        <v>#REF!</v>
      </c>
      <c r="F123" s="64" t="e">
        <f t="shared" si="27"/>
        <v>#REF!</v>
      </c>
      <c r="G123" s="64" t="e">
        <f t="shared" si="28"/>
        <v>#REF!</v>
      </c>
      <c r="H123" s="64" t="e">
        <f t="shared" si="29"/>
        <v>#REF!</v>
      </c>
      <c r="V123">
        <v>115</v>
      </c>
      <c r="W123">
        <f t="shared" si="15"/>
        <v>1.9205098129947689</v>
      </c>
      <c r="X123">
        <f t="shared" si="16"/>
        <v>2.3874352476042424</v>
      </c>
      <c r="Y123">
        <f t="shared" si="19"/>
        <v>2.24125</v>
      </c>
      <c r="Z123" s="64">
        <f t="shared" si="20"/>
        <v>0.37354166666666666</v>
      </c>
    </row>
    <row r="124" spans="1:26">
      <c r="A124">
        <v>81</v>
      </c>
      <c r="B124" t="e">
        <f t="shared" si="25"/>
        <v>#REF!</v>
      </c>
      <c r="C124" s="153" t="e">
        <f t="shared" si="24"/>
        <v>#REF!</v>
      </c>
      <c r="D124" s="153" t="e">
        <f t="shared" si="26"/>
        <v>#REF!</v>
      </c>
      <c r="E124" s="64" t="e">
        <f t="shared" si="30"/>
        <v>#REF!</v>
      </c>
      <c r="F124" s="64" t="e">
        <f t="shared" si="27"/>
        <v>#REF!</v>
      </c>
      <c r="G124" s="64" t="e">
        <f t="shared" si="28"/>
        <v>#REF!</v>
      </c>
      <c r="H124" s="64" t="e">
        <f t="shared" si="29"/>
        <v>#REF!</v>
      </c>
      <c r="V124">
        <v>116</v>
      </c>
      <c r="W124">
        <f t="shared" si="15"/>
        <v>1.9205098129947689</v>
      </c>
      <c r="X124">
        <f t="shared" si="16"/>
        <v>2.3874352476042424</v>
      </c>
      <c r="Y124">
        <f t="shared" si="19"/>
        <v>2.24125</v>
      </c>
      <c r="Z124" s="64">
        <f t="shared" si="20"/>
        <v>0.37354166666666666</v>
      </c>
    </row>
    <row r="125" spans="1:26">
      <c r="A125">
        <v>82</v>
      </c>
      <c r="B125" t="e">
        <f t="shared" si="25"/>
        <v>#REF!</v>
      </c>
      <c r="C125" s="153" t="e">
        <f t="shared" si="24"/>
        <v>#REF!</v>
      </c>
      <c r="D125" s="153" t="e">
        <f t="shared" si="26"/>
        <v>#REF!</v>
      </c>
      <c r="E125" s="64" t="e">
        <f t="shared" si="30"/>
        <v>#REF!</v>
      </c>
      <c r="F125" s="64" t="e">
        <f t="shared" si="27"/>
        <v>#REF!</v>
      </c>
      <c r="G125" s="64" t="e">
        <f t="shared" si="28"/>
        <v>#REF!</v>
      </c>
      <c r="H125" s="64" t="e">
        <f t="shared" si="29"/>
        <v>#REF!</v>
      </c>
      <c r="V125">
        <v>117</v>
      </c>
      <c r="W125">
        <f t="shared" si="15"/>
        <v>1.9205098129947689</v>
      </c>
      <c r="X125">
        <f t="shared" si="16"/>
        <v>2.3874352476042424</v>
      </c>
      <c r="Y125">
        <f t="shared" si="19"/>
        <v>2.24125</v>
      </c>
      <c r="Z125" s="64">
        <f t="shared" si="20"/>
        <v>0.37354166666666666</v>
      </c>
    </row>
    <row r="126" spans="1:26">
      <c r="A126">
        <v>83</v>
      </c>
      <c r="B126" t="e">
        <f t="shared" si="25"/>
        <v>#REF!</v>
      </c>
      <c r="C126" s="153" t="e">
        <f t="shared" si="24"/>
        <v>#REF!</v>
      </c>
      <c r="D126" s="153" t="e">
        <f t="shared" si="26"/>
        <v>#REF!</v>
      </c>
      <c r="E126" s="64" t="e">
        <f t="shared" si="30"/>
        <v>#REF!</v>
      </c>
      <c r="F126" s="64" t="e">
        <f t="shared" si="27"/>
        <v>#REF!</v>
      </c>
      <c r="G126" s="64" t="e">
        <f t="shared" si="28"/>
        <v>#REF!</v>
      </c>
      <c r="H126" s="64" t="e">
        <f t="shared" si="29"/>
        <v>#REF!</v>
      </c>
      <c r="V126">
        <v>118</v>
      </c>
      <c r="W126">
        <f t="shared" si="15"/>
        <v>1.9205098129947689</v>
      </c>
      <c r="X126">
        <f t="shared" si="16"/>
        <v>2.3874352476042424</v>
      </c>
      <c r="Y126">
        <f t="shared" si="19"/>
        <v>2.24125</v>
      </c>
      <c r="Z126" s="64">
        <f t="shared" si="20"/>
        <v>0.37354166666666666</v>
      </c>
    </row>
    <row r="127" spans="1:26">
      <c r="A127">
        <v>84</v>
      </c>
      <c r="B127" t="e">
        <f t="shared" si="25"/>
        <v>#REF!</v>
      </c>
      <c r="C127" s="153" t="e">
        <f t="shared" si="24"/>
        <v>#REF!</v>
      </c>
      <c r="D127" s="153" t="e">
        <f t="shared" si="26"/>
        <v>#REF!</v>
      </c>
      <c r="E127" s="64" t="e">
        <f t="shared" si="30"/>
        <v>#REF!</v>
      </c>
      <c r="F127" s="64" t="e">
        <f t="shared" si="27"/>
        <v>#REF!</v>
      </c>
      <c r="G127" s="64" t="e">
        <f t="shared" si="28"/>
        <v>#REF!</v>
      </c>
      <c r="H127" s="64" t="e">
        <f t="shared" si="29"/>
        <v>#REF!</v>
      </c>
      <c r="V127">
        <v>119</v>
      </c>
      <c r="W127">
        <f t="shared" si="15"/>
        <v>1.9205098129947689</v>
      </c>
      <c r="X127">
        <f t="shared" si="16"/>
        <v>2.3874352476042424</v>
      </c>
      <c r="Y127">
        <f t="shared" si="19"/>
        <v>2.24125</v>
      </c>
      <c r="Z127" s="64">
        <f t="shared" si="20"/>
        <v>0.37354166666666666</v>
      </c>
    </row>
    <row r="128" spans="1:26">
      <c r="A128">
        <v>85</v>
      </c>
      <c r="B128" t="e">
        <f t="shared" si="25"/>
        <v>#REF!</v>
      </c>
      <c r="C128" s="153" t="e">
        <f t="shared" si="24"/>
        <v>#REF!</v>
      </c>
      <c r="D128" s="153" t="e">
        <f t="shared" si="26"/>
        <v>#REF!</v>
      </c>
      <c r="E128" s="64" t="e">
        <f t="shared" si="30"/>
        <v>#REF!</v>
      </c>
      <c r="F128" s="64" t="e">
        <f t="shared" si="27"/>
        <v>#REF!</v>
      </c>
      <c r="G128" s="64" t="e">
        <f t="shared" si="28"/>
        <v>#REF!</v>
      </c>
      <c r="H128" s="64" t="e">
        <f t="shared" si="29"/>
        <v>#REF!</v>
      </c>
      <c r="V128">
        <v>120</v>
      </c>
      <c r="W128">
        <f t="shared" si="15"/>
        <v>1.9205098129947689</v>
      </c>
      <c r="X128">
        <f t="shared" si="16"/>
        <v>2.3874352476042424</v>
      </c>
      <c r="Y128">
        <f t="shared" si="19"/>
        <v>2.24125</v>
      </c>
      <c r="Z128" s="64">
        <f t="shared" si="20"/>
        <v>0.37354166666666666</v>
      </c>
    </row>
    <row r="129" spans="1:8">
      <c r="A129">
        <v>86</v>
      </c>
      <c r="B129" t="e">
        <f t="shared" si="25"/>
        <v>#REF!</v>
      </c>
      <c r="C129" s="153" t="e">
        <f t="shared" si="24"/>
        <v>#REF!</v>
      </c>
      <c r="D129" s="153" t="e">
        <f t="shared" si="26"/>
        <v>#REF!</v>
      </c>
      <c r="E129" s="64" t="e">
        <f t="shared" si="30"/>
        <v>#REF!</v>
      </c>
      <c r="F129" s="64" t="e">
        <f t="shared" si="27"/>
        <v>#REF!</v>
      </c>
      <c r="G129" s="64" t="e">
        <f t="shared" si="28"/>
        <v>#REF!</v>
      </c>
      <c r="H129" s="64" t="e">
        <f t="shared" si="29"/>
        <v>#REF!</v>
      </c>
    </row>
    <row r="130" spans="1:8">
      <c r="A130">
        <v>87</v>
      </c>
      <c r="B130" t="e">
        <f t="shared" si="25"/>
        <v>#REF!</v>
      </c>
      <c r="C130" s="153" t="e">
        <f t="shared" si="24"/>
        <v>#REF!</v>
      </c>
      <c r="D130" s="153" t="e">
        <f t="shared" si="26"/>
        <v>#REF!</v>
      </c>
      <c r="E130" s="64" t="e">
        <f t="shared" si="30"/>
        <v>#REF!</v>
      </c>
      <c r="F130" s="64" t="e">
        <f t="shared" si="27"/>
        <v>#REF!</v>
      </c>
      <c r="G130" s="64" t="e">
        <f t="shared" si="28"/>
        <v>#REF!</v>
      </c>
      <c r="H130" s="64" t="e">
        <f t="shared" si="29"/>
        <v>#REF!</v>
      </c>
    </row>
    <row r="131" spans="1:8">
      <c r="A131">
        <v>88</v>
      </c>
      <c r="B131" t="e">
        <f t="shared" si="25"/>
        <v>#REF!</v>
      </c>
      <c r="C131" s="153" t="e">
        <f t="shared" si="24"/>
        <v>#REF!</v>
      </c>
      <c r="D131" s="153" t="e">
        <f t="shared" si="26"/>
        <v>#REF!</v>
      </c>
      <c r="E131" s="64" t="e">
        <f t="shared" si="30"/>
        <v>#REF!</v>
      </c>
      <c r="F131" s="64" t="e">
        <f t="shared" si="27"/>
        <v>#REF!</v>
      </c>
      <c r="G131" s="64" t="e">
        <f t="shared" si="28"/>
        <v>#REF!</v>
      </c>
      <c r="H131" s="64" t="e">
        <f t="shared" si="29"/>
        <v>#REF!</v>
      </c>
    </row>
    <row r="132" spans="1:8">
      <c r="A132">
        <v>89</v>
      </c>
      <c r="B132" t="e">
        <f t="shared" si="25"/>
        <v>#REF!</v>
      </c>
      <c r="C132" s="153" t="e">
        <f t="shared" si="24"/>
        <v>#REF!</v>
      </c>
      <c r="D132" s="153" t="e">
        <f t="shared" si="26"/>
        <v>#REF!</v>
      </c>
      <c r="E132" s="64" t="e">
        <f t="shared" si="30"/>
        <v>#REF!</v>
      </c>
      <c r="F132" s="64" t="e">
        <f t="shared" si="27"/>
        <v>#REF!</v>
      </c>
      <c r="G132" s="64" t="e">
        <f t="shared" si="28"/>
        <v>#REF!</v>
      </c>
      <c r="H132" s="64" t="e">
        <f t="shared" si="29"/>
        <v>#REF!</v>
      </c>
    </row>
    <row r="133" spans="1:8">
      <c r="A133">
        <v>90</v>
      </c>
      <c r="B133" t="e">
        <f t="shared" si="25"/>
        <v>#REF!</v>
      </c>
      <c r="C133" s="153" t="e">
        <f t="shared" si="24"/>
        <v>#REF!</v>
      </c>
      <c r="D133" s="153" t="e">
        <f t="shared" si="26"/>
        <v>#REF!</v>
      </c>
      <c r="E133" s="64" t="e">
        <f t="shared" si="30"/>
        <v>#REF!</v>
      </c>
      <c r="F133" s="64" t="e">
        <f t="shared" si="27"/>
        <v>#REF!</v>
      </c>
      <c r="G133" s="64" t="e">
        <f t="shared" si="28"/>
        <v>#REF!</v>
      </c>
      <c r="H133" s="64" t="e">
        <f t="shared" si="29"/>
        <v>#REF!</v>
      </c>
    </row>
    <row r="134" spans="1:8">
      <c r="A134">
        <v>91</v>
      </c>
      <c r="B134" t="e">
        <f t="shared" si="25"/>
        <v>#REF!</v>
      </c>
      <c r="C134" s="153" t="e">
        <f t="shared" si="24"/>
        <v>#REF!</v>
      </c>
      <c r="D134" s="153" t="e">
        <f t="shared" si="26"/>
        <v>#REF!</v>
      </c>
      <c r="E134" s="64" t="e">
        <f t="shared" si="30"/>
        <v>#REF!</v>
      </c>
      <c r="F134" s="64" t="e">
        <f t="shared" si="27"/>
        <v>#REF!</v>
      </c>
      <c r="G134" s="64" t="e">
        <f t="shared" si="28"/>
        <v>#REF!</v>
      </c>
      <c r="H134" s="64" t="e">
        <f t="shared" si="29"/>
        <v>#REF!</v>
      </c>
    </row>
    <row r="135" spans="1:8">
      <c r="A135">
        <v>92</v>
      </c>
      <c r="B135" t="e">
        <f t="shared" si="25"/>
        <v>#REF!</v>
      </c>
      <c r="C135" s="153" t="e">
        <f t="shared" si="24"/>
        <v>#REF!</v>
      </c>
      <c r="D135" s="153" t="e">
        <f t="shared" si="26"/>
        <v>#REF!</v>
      </c>
      <c r="E135" s="64" t="e">
        <f t="shared" si="30"/>
        <v>#REF!</v>
      </c>
      <c r="F135" s="64" t="e">
        <f t="shared" si="27"/>
        <v>#REF!</v>
      </c>
      <c r="G135" s="64" t="e">
        <f t="shared" si="28"/>
        <v>#REF!</v>
      </c>
      <c r="H135" s="64" t="e">
        <f t="shared" si="29"/>
        <v>#REF!</v>
      </c>
    </row>
    <row r="136" spans="1:8">
      <c r="A136">
        <v>93</v>
      </c>
      <c r="B136" t="e">
        <f t="shared" si="25"/>
        <v>#REF!</v>
      </c>
      <c r="C136" s="153" t="e">
        <f t="shared" si="24"/>
        <v>#REF!</v>
      </c>
      <c r="D136" s="153" t="e">
        <f t="shared" si="26"/>
        <v>#REF!</v>
      </c>
      <c r="E136" s="64" t="e">
        <f t="shared" si="30"/>
        <v>#REF!</v>
      </c>
      <c r="F136" s="64" t="e">
        <f t="shared" si="27"/>
        <v>#REF!</v>
      </c>
      <c r="G136" s="64" t="e">
        <f t="shared" si="28"/>
        <v>#REF!</v>
      </c>
      <c r="H136" s="64" t="e">
        <f t="shared" si="29"/>
        <v>#REF!</v>
      </c>
    </row>
    <row r="137" spans="1:8">
      <c r="A137">
        <v>94</v>
      </c>
      <c r="B137" t="e">
        <f t="shared" ref="B137:B143" si="31">$B$4/$B$12*A137</f>
        <v>#REF!</v>
      </c>
      <c r="C137" s="153" t="e">
        <f t="shared" si="24"/>
        <v>#REF!</v>
      </c>
      <c r="D137" s="153" t="e">
        <f t="shared" ref="D137:D143" si="32">IF(B137&lt;$B$26/12,1/2*($B$11-$B$11*($B$26/12)/$B$4)*($B$4-($B$26/12)),1/2*($B$11-$B$11*B137/$B$4)*($B$4-B137))</f>
        <v>#REF!</v>
      </c>
      <c r="E137" s="64" t="e">
        <f t="shared" si="30"/>
        <v>#REF!</v>
      </c>
      <c r="F137" s="64" t="e">
        <f t="shared" si="27"/>
        <v>#REF!</v>
      </c>
      <c r="G137" s="64" t="e">
        <f t="shared" si="28"/>
        <v>#REF!</v>
      </c>
      <c r="H137" s="64" t="e">
        <f t="shared" si="29"/>
        <v>#REF!</v>
      </c>
    </row>
    <row r="138" spans="1:8">
      <c r="A138">
        <v>95</v>
      </c>
      <c r="B138" t="e">
        <f t="shared" si="31"/>
        <v>#REF!</v>
      </c>
      <c r="C138" s="153" t="e">
        <f t="shared" si="24"/>
        <v>#REF!</v>
      </c>
      <c r="D138" s="153" t="e">
        <f t="shared" si="32"/>
        <v>#REF!</v>
      </c>
      <c r="E138" s="64" t="e">
        <f t="shared" si="30"/>
        <v>#REF!</v>
      </c>
      <c r="F138" s="64" t="e">
        <f t="shared" si="27"/>
        <v>#REF!</v>
      </c>
      <c r="G138" s="64" t="e">
        <f t="shared" si="28"/>
        <v>#REF!</v>
      </c>
      <c r="H138" s="64" t="e">
        <f t="shared" si="29"/>
        <v>#REF!</v>
      </c>
    </row>
    <row r="139" spans="1:8">
      <c r="A139">
        <v>96</v>
      </c>
      <c r="B139" t="e">
        <f t="shared" si="31"/>
        <v>#REF!</v>
      </c>
      <c r="C139" s="153" t="e">
        <f t="shared" si="24"/>
        <v>#REF!</v>
      </c>
      <c r="D139" s="153" t="e">
        <f t="shared" si="32"/>
        <v>#REF!</v>
      </c>
      <c r="E139" s="64" t="e">
        <f t="shared" si="30"/>
        <v>#REF!</v>
      </c>
      <c r="F139" s="64" t="e">
        <f t="shared" si="27"/>
        <v>#REF!</v>
      </c>
      <c r="G139" s="64" t="e">
        <f t="shared" si="28"/>
        <v>#REF!</v>
      </c>
      <c r="H139" s="64" t="e">
        <f t="shared" si="29"/>
        <v>#REF!</v>
      </c>
    </row>
    <row r="140" spans="1:8">
      <c r="A140">
        <v>97</v>
      </c>
      <c r="B140" t="e">
        <f t="shared" si="31"/>
        <v>#REF!</v>
      </c>
      <c r="C140" s="153" t="e">
        <f t="shared" si="24"/>
        <v>#REF!</v>
      </c>
      <c r="D140" s="153" t="e">
        <f t="shared" si="32"/>
        <v>#REF!</v>
      </c>
      <c r="E140" s="64" t="e">
        <f t="shared" si="30"/>
        <v>#REF!</v>
      </c>
      <c r="F140" s="64" t="e">
        <f t="shared" si="27"/>
        <v>#REF!</v>
      </c>
      <c r="G140" s="64" t="e">
        <f t="shared" si="28"/>
        <v>#REF!</v>
      </c>
      <c r="H140" s="64" t="e">
        <f t="shared" si="29"/>
        <v>#REF!</v>
      </c>
    </row>
    <row r="141" spans="1:8">
      <c r="A141">
        <v>98</v>
      </c>
      <c r="B141" t="e">
        <f t="shared" si="31"/>
        <v>#REF!</v>
      </c>
      <c r="C141" s="153" t="e">
        <f t="shared" si="24"/>
        <v>#REF!</v>
      </c>
      <c r="D141" s="153" t="e">
        <f t="shared" si="32"/>
        <v>#REF!</v>
      </c>
      <c r="E141" s="64" t="e">
        <f t="shared" si="30"/>
        <v>#REF!</v>
      </c>
      <c r="F141" s="64" t="e">
        <f t="shared" si="27"/>
        <v>#REF!</v>
      </c>
      <c r="G141" s="64" t="e">
        <f t="shared" si="28"/>
        <v>#REF!</v>
      </c>
      <c r="H141" s="64" t="e">
        <f t="shared" si="29"/>
        <v>#REF!</v>
      </c>
    </row>
    <row r="142" spans="1:8">
      <c r="A142">
        <v>99</v>
      </c>
      <c r="B142" t="e">
        <f t="shared" si="31"/>
        <v>#REF!</v>
      </c>
      <c r="C142" s="153" t="e">
        <f t="shared" si="24"/>
        <v>#REF!</v>
      </c>
      <c r="D142" s="153" t="e">
        <f t="shared" si="32"/>
        <v>#REF!</v>
      </c>
      <c r="E142" s="64" t="e">
        <f t="shared" si="30"/>
        <v>#REF!</v>
      </c>
      <c r="F142" s="64" t="e">
        <f t="shared" si="27"/>
        <v>#REF!</v>
      </c>
      <c r="G142" s="64" t="e">
        <f t="shared" si="28"/>
        <v>#REF!</v>
      </c>
      <c r="H142" s="64" t="e">
        <f t="shared" si="29"/>
        <v>#REF!</v>
      </c>
    </row>
    <row r="143" spans="1:8">
      <c r="A143">
        <v>100</v>
      </c>
      <c r="B143" t="e">
        <f t="shared" si="31"/>
        <v>#REF!</v>
      </c>
      <c r="C143" s="153" t="e">
        <f t="shared" si="24"/>
        <v>#REF!</v>
      </c>
      <c r="D143" s="153" t="e">
        <f t="shared" si="32"/>
        <v>#REF!</v>
      </c>
      <c r="E143" s="64" t="e">
        <f t="shared" si="30"/>
        <v>#REF!</v>
      </c>
      <c r="F143" s="64" t="e">
        <f t="shared" si="27"/>
        <v>#REF!</v>
      </c>
      <c r="G143" s="64" t="e">
        <f t="shared" si="28"/>
        <v>#REF!</v>
      </c>
      <c r="H143" s="64" t="e">
        <f t="shared" si="29"/>
        <v>#REF!</v>
      </c>
    </row>
  </sheetData>
  <mergeCells count="2">
    <mergeCell ref="D11:H12"/>
    <mergeCell ref="F39:H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30" sqref="M30"/>
    </sheetView>
  </sheetViews>
  <sheetFormatPr defaultRowHeight="1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4" sqref="D34"/>
    </sheetView>
  </sheetViews>
  <sheetFormatPr defaultRowHeight="1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I22" sqref="I22"/>
    </sheetView>
  </sheetViews>
  <sheetFormatPr defaultRowHeight="15"/>
  <sheetData>
    <row r="1" spans="1:3">
      <c r="A1" t="s">
        <v>90</v>
      </c>
      <c r="B1" t="s">
        <v>91</v>
      </c>
      <c r="C1" t="s">
        <v>92</v>
      </c>
    </row>
    <row r="2" spans="1:3">
      <c r="A2">
        <v>3</v>
      </c>
      <c r="B2">
        <f t="shared" ref="B2:B7" si="0">A2/8</f>
        <v>0.375</v>
      </c>
      <c r="C2">
        <f>ROUND(B2^2/4*PI(),2)</f>
        <v>0.11</v>
      </c>
    </row>
    <row r="3" spans="1:3">
      <c r="A3">
        <v>4</v>
      </c>
      <c r="B3">
        <f t="shared" si="0"/>
        <v>0.5</v>
      </c>
      <c r="C3">
        <f t="shared" ref="C3:C12" si="1">ROUND(B3^2/4*PI(),2)</f>
        <v>0.2</v>
      </c>
    </row>
    <row r="4" spans="1:3">
      <c r="A4">
        <v>5</v>
      </c>
      <c r="B4">
        <f t="shared" si="0"/>
        <v>0.625</v>
      </c>
      <c r="C4">
        <f t="shared" si="1"/>
        <v>0.31</v>
      </c>
    </row>
    <row r="5" spans="1:3">
      <c r="A5">
        <v>6</v>
      </c>
      <c r="B5">
        <f t="shared" si="0"/>
        <v>0.75</v>
      </c>
      <c r="C5">
        <f t="shared" si="1"/>
        <v>0.44</v>
      </c>
    </row>
    <row r="6" spans="1:3">
      <c r="A6">
        <v>7</v>
      </c>
      <c r="B6">
        <f t="shared" si="0"/>
        <v>0.875</v>
      </c>
      <c r="C6">
        <f t="shared" si="1"/>
        <v>0.6</v>
      </c>
    </row>
    <row r="7" spans="1:3">
      <c r="A7">
        <v>8</v>
      </c>
      <c r="B7">
        <f t="shared" si="0"/>
        <v>1</v>
      </c>
      <c r="C7">
        <f t="shared" si="1"/>
        <v>0.79</v>
      </c>
    </row>
    <row r="8" spans="1:3">
      <c r="A8">
        <v>9</v>
      </c>
      <c r="B8">
        <v>1.1279999999999999</v>
      </c>
      <c r="C8">
        <f t="shared" si="1"/>
        <v>1</v>
      </c>
    </row>
    <row r="9" spans="1:3">
      <c r="A9">
        <v>10</v>
      </c>
      <c r="B9">
        <v>1.27</v>
      </c>
      <c r="C9">
        <f t="shared" si="1"/>
        <v>1.27</v>
      </c>
    </row>
    <row r="10" spans="1:3">
      <c r="A10">
        <v>11</v>
      </c>
      <c r="B10">
        <v>1.41</v>
      </c>
      <c r="C10">
        <f t="shared" si="1"/>
        <v>1.56</v>
      </c>
    </row>
    <row r="11" spans="1:3">
      <c r="A11">
        <v>14</v>
      </c>
      <c r="B11">
        <v>1.6930000000000001</v>
      </c>
      <c r="C11">
        <f t="shared" si="1"/>
        <v>2.25</v>
      </c>
    </row>
    <row r="12" spans="1:3">
      <c r="A12">
        <v>18</v>
      </c>
      <c r="B12">
        <v>2.2570000000000001</v>
      </c>
      <c r="C12">
        <f t="shared" si="1"/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33</vt:i4>
      </vt:variant>
    </vt:vector>
  </HeadingPairs>
  <TitlesOfParts>
    <vt:vector size="41" baseType="lpstr">
      <vt:lpstr>T-Beam Moment</vt:lpstr>
      <vt:lpstr>Masonry Flexural</vt:lpstr>
      <vt:lpstr>Masonry Flexural Upper</vt:lpstr>
      <vt:lpstr>Concrete Flexural</vt:lpstr>
      <vt:lpstr>Shear Design</vt:lpstr>
      <vt:lpstr>Shear Stirrups</vt:lpstr>
      <vt:lpstr>Shear Diagram</vt:lpstr>
      <vt:lpstr>Lookup Tables</vt:lpstr>
      <vt:lpstr>'Concrete Flexural'!a</vt:lpstr>
      <vt:lpstr>'Masonry Flexural'!a</vt:lpstr>
      <vt:lpstr>'Masonry Flexural Upper'!a</vt:lpstr>
      <vt:lpstr>'T-Beam Moment'!a</vt:lpstr>
      <vt:lpstr>'Concrete Flexural'!As</vt:lpstr>
      <vt:lpstr>'Masonry Flexural'!As</vt:lpstr>
      <vt:lpstr>'Masonry Flexural Upper'!As</vt:lpstr>
      <vt:lpstr>'T-Beam Moment'!As</vt:lpstr>
      <vt:lpstr>'Concrete Flexural'!b</vt:lpstr>
      <vt:lpstr>'Masonry Flexural'!b</vt:lpstr>
      <vt:lpstr>'Masonry Flexural Upper'!b</vt:lpstr>
      <vt:lpstr>'T-Beam Moment'!b</vt:lpstr>
      <vt:lpstr>'Concrete Flexural'!beta1</vt:lpstr>
      <vt:lpstr>'Masonry Flexural'!beta1</vt:lpstr>
      <vt:lpstr>'Masonry Flexural Upper'!beta1</vt:lpstr>
      <vt:lpstr>'T-Beam Moment'!beta1</vt:lpstr>
      <vt:lpstr>'Concrete Flexural'!d</vt:lpstr>
      <vt:lpstr>'Masonry Flexural'!d</vt:lpstr>
      <vt:lpstr>'Masonry Flexural Upper'!d</vt:lpstr>
      <vt:lpstr>'T-Beam Moment'!d</vt:lpstr>
      <vt:lpstr>'Concrete Flexural'!ey</vt:lpstr>
      <vt:lpstr>'Masonry Flexural'!ey</vt:lpstr>
      <vt:lpstr>'Masonry Flexural Upper'!ey</vt:lpstr>
      <vt:lpstr>'T-Beam Moment'!ey</vt:lpstr>
      <vt:lpstr>'Concrete Flexural'!fc</vt:lpstr>
      <vt:lpstr>'T-Beam Moment'!fc</vt:lpstr>
      <vt:lpstr>'Masonry Flexural Upper'!fcbrick</vt:lpstr>
      <vt:lpstr>fcbrick</vt:lpstr>
      <vt:lpstr>'Concrete Flexural'!fy</vt:lpstr>
      <vt:lpstr>'Masonry Flexural'!fy</vt:lpstr>
      <vt:lpstr>'Masonry Flexural Upper'!fy</vt:lpstr>
      <vt:lpstr>'T-Beam Moment'!fy</vt:lpstr>
      <vt:lpstr>'T-Beam Moment'!t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Siu</dc:creator>
  <cp:lastModifiedBy>Lily Siu</cp:lastModifiedBy>
  <cp:lastPrinted>2009-11-23T05:07:30Z</cp:lastPrinted>
  <dcterms:created xsi:type="dcterms:W3CDTF">2009-11-18T04:00:04Z</dcterms:created>
  <dcterms:modified xsi:type="dcterms:W3CDTF">2011-07-13T21:53:56Z</dcterms:modified>
</cp:coreProperties>
</file>